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vocaatbemiddelaargent.sharepoint.com/sites/GEDEELDEMAP/Gedeelde documenten/GEDEELD/HOBIN/"/>
    </mc:Choice>
  </mc:AlternateContent>
  <xr:revisionPtr revIDLastSave="129" documentId="8_{194691FA-C508-40C4-A0D3-10B1F810FC3B}" xr6:coauthVersionLast="47" xr6:coauthVersionMax="47" xr10:uidLastSave="{742DE202-9E87-49AB-BB10-789D832735AC}"/>
  <bookViews>
    <workbookView xWindow="-120" yWindow="-120" windowWidth="29040" windowHeight="15720" xr2:uid="{00000000-000D-0000-FFFF-FFFF00000000}"/>
  </bookViews>
  <sheets>
    <sheet name="Input parameters" sheetId="9" r:id="rId1"/>
    <sheet name="Hobin Clasic" sheetId="1" r:id="rId2"/>
    <sheet name="Uitgebreid verblijfsgeb+overst" sheetId="7" r:id="rId3"/>
    <sheet name="Uitgebreid enkel verblijfsgeb" sheetId="8" r:id="rId4"/>
    <sheet name="Berekening verblijf vrij" sheetId="5" r:id="rId5"/>
    <sheet name="Tabel" sheetId="4" r:id="rId6"/>
    <sheet name="Vergelijking indien kindrek" sheetId="3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9" l="1"/>
  <c r="R31" i="4"/>
  <c r="M31" i="4"/>
  <c r="L31" i="4"/>
  <c r="K31" i="4"/>
  <c r="J31" i="4"/>
  <c r="P30" i="4"/>
  <c r="P31" i="4" s="1"/>
  <c r="O30" i="4"/>
  <c r="O31" i="4" s="1"/>
  <c r="R29" i="4"/>
  <c r="Q29" i="4"/>
  <c r="Q30" i="4" s="1"/>
  <c r="Q31" i="4" s="1"/>
  <c r="O29" i="4"/>
  <c r="M28" i="4"/>
  <c r="M29" i="4" s="1"/>
  <c r="L28" i="4"/>
  <c r="L29" i="4" s="1"/>
  <c r="K28" i="4"/>
  <c r="K29" i="4" s="1"/>
  <c r="J28" i="4"/>
  <c r="J29" i="4" s="1"/>
  <c r="J27" i="4"/>
  <c r="I27" i="4"/>
  <c r="I28" i="4" s="1"/>
  <c r="I29" i="4" s="1"/>
  <c r="I30" i="4" s="1"/>
  <c r="I31" i="4" s="1"/>
  <c r="G27" i="4"/>
  <c r="G28" i="4" s="1"/>
  <c r="G29" i="4" s="1"/>
  <c r="G30" i="4" s="1"/>
  <c r="G31" i="4" s="1"/>
  <c r="R26" i="4"/>
  <c r="J26" i="4"/>
  <c r="M25" i="4"/>
  <c r="M26" i="4" s="1"/>
  <c r="L25" i="4"/>
  <c r="L26" i="4" s="1"/>
  <c r="K25" i="4"/>
  <c r="K26" i="4" s="1"/>
  <c r="P24" i="4"/>
  <c r="P25" i="4" s="1"/>
  <c r="P26" i="4" s="1"/>
  <c r="P27" i="4" s="1"/>
  <c r="P28" i="4" s="1"/>
  <c r="J24" i="4"/>
  <c r="R23" i="4"/>
  <c r="R24" i="4" s="1"/>
  <c r="Q23" i="4"/>
  <c r="Q24" i="4" s="1"/>
  <c r="Q25" i="4" s="1"/>
  <c r="Q26" i="4" s="1"/>
  <c r="Q27" i="4" s="1"/>
  <c r="O23" i="4"/>
  <c r="O24" i="4" s="1"/>
  <c r="O25" i="4" s="1"/>
  <c r="O26" i="4" s="1"/>
  <c r="O27" i="4" s="1"/>
  <c r="J23" i="4"/>
  <c r="M22" i="4"/>
  <c r="M23" i="4" s="1"/>
  <c r="L22" i="4"/>
  <c r="L23" i="4" s="1"/>
  <c r="K22" i="4"/>
  <c r="K23" i="4" s="1"/>
  <c r="R21" i="4"/>
  <c r="M20" i="4"/>
  <c r="L20" i="4"/>
  <c r="O19" i="4"/>
  <c r="O20" i="4" s="1"/>
  <c r="O21" i="4" s="1"/>
  <c r="M19" i="4"/>
  <c r="L19" i="4"/>
  <c r="K19" i="4"/>
  <c r="K20" i="4" s="1"/>
  <c r="R18" i="4"/>
  <c r="Q18" i="4"/>
  <c r="Q19" i="4" s="1"/>
  <c r="Q20" i="4" s="1"/>
  <c r="Q21" i="4" s="1"/>
  <c r="O18" i="4"/>
  <c r="J18" i="4"/>
  <c r="J19" i="4" s="1"/>
  <c r="J20" i="4" s="1"/>
  <c r="J21" i="4" s="1"/>
  <c r="P17" i="4"/>
  <c r="P18" i="4" s="1"/>
  <c r="P19" i="4" s="1"/>
  <c r="P20" i="4" s="1"/>
  <c r="P21" i="4" s="1"/>
  <c r="P22" i="4" s="1"/>
  <c r="M16" i="4"/>
  <c r="M17" i="4" s="1"/>
  <c r="L16" i="4"/>
  <c r="L17" i="4" s="1"/>
  <c r="K16" i="4"/>
  <c r="K17" i="4" s="1"/>
  <c r="R15" i="4"/>
  <c r="R16" i="4" s="1"/>
  <c r="J15" i="4"/>
  <c r="J16" i="4" s="1"/>
  <c r="Q14" i="4"/>
  <c r="Q15" i="4" s="1"/>
  <c r="Q16" i="4" s="1"/>
  <c r="M14" i="4"/>
  <c r="K14" i="4"/>
  <c r="G14" i="4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Q13" i="4"/>
  <c r="P13" i="4"/>
  <c r="P14" i="4" s="1"/>
  <c r="P15" i="4" s="1"/>
  <c r="O13" i="4"/>
  <c r="O14" i="4" s="1"/>
  <c r="O15" i="4" s="1"/>
  <c r="O16" i="4" s="1"/>
  <c r="N13" i="4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M13" i="4"/>
  <c r="L13" i="4"/>
  <c r="L14" i="4" s="1"/>
  <c r="K13" i="4"/>
  <c r="J13" i="4"/>
  <c r="I13" i="4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G13" i="4"/>
  <c r="Q6" i="4"/>
  <c r="R6" i="4" s="1"/>
  <c r="P6" i="4"/>
  <c r="L6" i="4"/>
  <c r="M6" i="4" s="1"/>
  <c r="N6" i="4" s="1"/>
  <c r="H6" i="4"/>
  <c r="I6" i="4" s="1"/>
  <c r="J6" i="4" s="1"/>
  <c r="F13" i="4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6" i="4"/>
  <c r="E6" i="4"/>
  <c r="D12" i="4"/>
  <c r="D11" i="4"/>
  <c r="D10" i="4"/>
  <c r="D9" i="4"/>
  <c r="D8" i="4"/>
  <c r="D6" i="4"/>
  <c r="I23" i="1" l="1"/>
  <c r="E20" i="7"/>
  <c r="C34" i="7" s="1"/>
  <c r="E18" i="7"/>
  <c r="C27" i="7" s="1"/>
  <c r="C32" i="9"/>
  <c r="C32" i="1" s="1"/>
  <c r="C14" i="3" s="1"/>
  <c r="H9" i="8"/>
  <c r="H9" i="7"/>
  <c r="E66" i="1"/>
  <c r="E60" i="1"/>
  <c r="E58" i="1"/>
  <c r="E46" i="1"/>
  <c r="E44" i="1"/>
  <c r="P9" i="1"/>
  <c r="I13" i="1"/>
  <c r="V16" i="4" s="1"/>
  <c r="I14" i="1"/>
  <c r="V17" i="4" s="1"/>
  <c r="I15" i="1"/>
  <c r="V18" i="4" s="1"/>
  <c r="I16" i="1"/>
  <c r="V19" i="4" s="1"/>
  <c r="W19" i="4" s="1"/>
  <c r="C13" i="1"/>
  <c r="C14" i="1"/>
  <c r="C17" i="1"/>
  <c r="C18" i="1"/>
  <c r="C29" i="9"/>
  <c r="C28" i="1" s="1"/>
  <c r="C30" i="9"/>
  <c r="C29" i="1" s="1"/>
  <c r="C15" i="1"/>
  <c r="C19" i="1"/>
  <c r="C25" i="1"/>
  <c r="C21" i="3" s="1"/>
  <c r="H15" i="3" s="1"/>
  <c r="H33" i="3" s="1"/>
  <c r="C26" i="1"/>
  <c r="E18" i="8"/>
  <c r="E43" i="8"/>
  <c r="E20" i="8"/>
  <c r="Q33" i="8"/>
  <c r="K33" i="8"/>
  <c r="Q31" i="8"/>
  <c r="K31" i="8"/>
  <c r="C12" i="1"/>
  <c r="Q20" i="8"/>
  <c r="K20" i="8"/>
  <c r="Q18" i="8"/>
  <c r="K18" i="8"/>
  <c r="Q33" i="7"/>
  <c r="Q31" i="7"/>
  <c r="K31" i="7"/>
  <c r="K33" i="7"/>
  <c r="Q20" i="7"/>
  <c r="Q18" i="7"/>
  <c r="K20" i="7"/>
  <c r="K18" i="7"/>
  <c r="C21" i="9"/>
  <c r="C16" i="9"/>
  <c r="I24" i="1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D16" i="5"/>
  <c r="E16" i="5"/>
  <c r="C18" i="5"/>
  <c r="D21" i="5"/>
  <c r="D23" i="5"/>
  <c r="E21" i="5"/>
  <c r="E23" i="5"/>
  <c r="C23" i="5"/>
  <c r="E25" i="5"/>
  <c r="D25" i="5"/>
  <c r="C25" i="5"/>
  <c r="C34" i="8" l="1"/>
  <c r="C60" i="8" s="1"/>
  <c r="C27" i="8"/>
  <c r="C52" i="8" s="1"/>
  <c r="W18" i="4"/>
  <c r="C27" i="1"/>
  <c r="E43" i="1" s="1"/>
  <c r="L29" i="3"/>
  <c r="H17" i="3"/>
  <c r="C31" i="1"/>
  <c r="C22" i="3"/>
  <c r="H16" i="3" s="1"/>
  <c r="H34" i="3" s="1"/>
  <c r="E19" i="8"/>
  <c r="K19" i="8" s="1"/>
  <c r="K32" i="8" s="1"/>
  <c r="Q32" i="8" s="1"/>
  <c r="E59" i="1"/>
  <c r="E17" i="8"/>
  <c r="K17" i="8" s="1"/>
  <c r="K30" i="8" s="1"/>
  <c r="Q30" i="8" s="1"/>
  <c r="C30" i="1"/>
  <c r="E45" i="1" s="1"/>
  <c r="E57" i="1"/>
  <c r="C20" i="1"/>
  <c r="C33" i="1"/>
  <c r="Z13" i="4" s="1"/>
  <c r="C16" i="1"/>
  <c r="C21" i="1"/>
  <c r="C23" i="1" s="1"/>
  <c r="W17" i="4"/>
  <c r="W16" i="4"/>
  <c r="V14" i="4"/>
  <c r="V13" i="4" l="1"/>
  <c r="V15" i="4" s="1"/>
  <c r="X19" i="4" s="1"/>
  <c r="Y19" i="4" s="1"/>
  <c r="Z19" i="4" s="1"/>
  <c r="AA19" i="4" s="1"/>
  <c r="Q19" i="8"/>
  <c r="E17" i="7"/>
  <c r="K17" i="7" s="1"/>
  <c r="Q17" i="7" s="1"/>
  <c r="C22" i="1"/>
  <c r="C11" i="3" s="1"/>
  <c r="H12" i="3" s="1"/>
  <c r="E19" i="7"/>
  <c r="K19" i="7" s="1"/>
  <c r="K32" i="7" s="1"/>
  <c r="Q32" i="7" s="1"/>
  <c r="Q17" i="8"/>
  <c r="Q25" i="8" l="1"/>
  <c r="Q25" i="7"/>
  <c r="K30" i="7"/>
  <c r="Q30" i="7" s="1"/>
  <c r="Q19" i="7"/>
  <c r="E40" i="1"/>
  <c r="E54" i="1" s="1"/>
  <c r="D67" i="1" s="1"/>
  <c r="C24" i="1"/>
  <c r="E41" i="1" s="1"/>
  <c r="E55" i="1" s="1"/>
  <c r="D68" i="1" s="1"/>
  <c r="E14" i="7"/>
  <c r="K14" i="7" s="1"/>
  <c r="K27" i="7" s="1"/>
  <c r="Q27" i="7" s="1"/>
  <c r="E14" i="8"/>
  <c r="D44" i="8" s="1"/>
  <c r="X17" i="4"/>
  <c r="Y17" i="4" s="1"/>
  <c r="Z17" i="4" s="1"/>
  <c r="X18" i="4"/>
  <c r="Y18" i="4" s="1"/>
  <c r="Z18" i="4" s="1"/>
  <c r="AA18" i="4" s="1"/>
  <c r="X16" i="4"/>
  <c r="Y16" i="4" s="1"/>
  <c r="Z16" i="4" s="1"/>
  <c r="AA16" i="4" s="1"/>
  <c r="H30" i="3"/>
  <c r="L30" i="3" s="1"/>
  <c r="L12" i="3"/>
  <c r="Q12" i="8" l="1"/>
  <c r="R12" i="8" s="1"/>
  <c r="AA17" i="4"/>
  <c r="R25" i="7"/>
  <c r="R25" i="8"/>
  <c r="E15" i="8"/>
  <c r="K15" i="8" s="1"/>
  <c r="E15" i="7"/>
  <c r="K15" i="7" s="1"/>
  <c r="K28" i="7" s="1"/>
  <c r="Q28" i="7" s="1"/>
  <c r="K25" i="8"/>
  <c r="K25" i="7"/>
  <c r="C12" i="3"/>
  <c r="H13" i="3" s="1"/>
  <c r="L13" i="3" s="1"/>
  <c r="Q14" i="7"/>
  <c r="K14" i="8"/>
  <c r="K27" i="8" s="1"/>
  <c r="Q27" i="8" s="1"/>
  <c r="Z20" i="4"/>
  <c r="E34" i="1" s="1"/>
  <c r="E12" i="7" s="1"/>
  <c r="Q12" i="7"/>
  <c r="R12" i="7" s="1"/>
  <c r="K12" i="8"/>
  <c r="K12" i="7"/>
  <c r="L12" i="7" s="1"/>
  <c r="Q15" i="7" l="1"/>
  <c r="D45" i="8"/>
  <c r="L25" i="8"/>
  <c r="L25" i="7"/>
  <c r="H31" i="3"/>
  <c r="L31" i="3" s="1"/>
  <c r="Q14" i="8"/>
  <c r="E52" i="1"/>
  <c r="E12" i="8"/>
  <c r="F34" i="1"/>
  <c r="C34" i="1" s="1"/>
  <c r="E38" i="1"/>
  <c r="L12" i="8"/>
  <c r="Q15" i="8"/>
  <c r="K28" i="8"/>
  <c r="Q28" i="8" s="1"/>
  <c r="F12" i="7" l="1"/>
  <c r="D38" i="1"/>
  <c r="F38" i="1"/>
  <c r="F52" i="1"/>
  <c r="F12" i="8"/>
  <c r="C12" i="7" l="1"/>
  <c r="O25" i="7" s="1"/>
  <c r="C17" i="3"/>
  <c r="F10" i="3" s="1"/>
  <c r="F15" i="3" s="1"/>
  <c r="C18" i="3"/>
  <c r="K10" i="3" s="1"/>
  <c r="C38" i="1"/>
  <c r="C45" i="1" s="1"/>
  <c r="C46" i="1" s="1"/>
  <c r="C52" i="1"/>
  <c r="C65" i="1" s="1"/>
  <c r="C66" i="1" s="1"/>
  <c r="C12" i="8"/>
  <c r="O12" i="7" l="1"/>
  <c r="O19" i="7" s="1"/>
  <c r="O20" i="7" s="1"/>
  <c r="I25" i="7"/>
  <c r="I30" i="7" s="1"/>
  <c r="I31" i="7" s="1"/>
  <c r="C17" i="7"/>
  <c r="C18" i="7" s="1"/>
  <c r="C19" i="7"/>
  <c r="C20" i="7" s="1"/>
  <c r="D13" i="7"/>
  <c r="D14" i="7" s="1"/>
  <c r="C22" i="7" s="1"/>
  <c r="G11" i="3"/>
  <c r="G13" i="3" s="1"/>
  <c r="K28" i="3"/>
  <c r="K29" i="3" s="1"/>
  <c r="K30" i="3" s="1"/>
  <c r="P31" i="3" s="1"/>
  <c r="F28" i="3"/>
  <c r="F33" i="3" s="1"/>
  <c r="P29" i="3" s="1"/>
  <c r="F16" i="3"/>
  <c r="F17" i="3" s="1"/>
  <c r="P18" i="3" s="1"/>
  <c r="I12" i="7"/>
  <c r="J13" i="7" s="1"/>
  <c r="I12" i="8"/>
  <c r="I19" i="8" s="1"/>
  <c r="I20" i="8" s="1"/>
  <c r="C42" i="8"/>
  <c r="C43" i="8" s="1"/>
  <c r="C43" i="1"/>
  <c r="C44" i="1" s="1"/>
  <c r="C59" i="1"/>
  <c r="C60" i="1" s="1"/>
  <c r="D53" i="1"/>
  <c r="D55" i="1" s="1"/>
  <c r="D39" i="1"/>
  <c r="D40" i="1" s="1"/>
  <c r="C57" i="1"/>
  <c r="C58" i="1" s="1"/>
  <c r="I25" i="8"/>
  <c r="J26" i="8" s="1"/>
  <c r="O12" i="8"/>
  <c r="O19" i="8" s="1"/>
  <c r="O20" i="8" s="1"/>
  <c r="D13" i="8"/>
  <c r="D15" i="8" s="1"/>
  <c r="C19" i="8"/>
  <c r="C20" i="8" s="1"/>
  <c r="C17" i="8"/>
  <c r="C18" i="8" s="1"/>
  <c r="O25" i="8"/>
  <c r="O32" i="8" s="1"/>
  <c r="O33" i="8" s="1"/>
  <c r="O32" i="7"/>
  <c r="O33" i="7" s="1"/>
  <c r="P26" i="7"/>
  <c r="O30" i="7"/>
  <c r="O31" i="7" s="1"/>
  <c r="P11" i="3"/>
  <c r="P13" i="7"/>
  <c r="O17" i="7"/>
  <c r="O18" i="7" s="1"/>
  <c r="K12" i="3"/>
  <c r="P13" i="3" s="1"/>
  <c r="K13" i="3"/>
  <c r="P20" i="3" s="1"/>
  <c r="K11" i="3"/>
  <c r="C67" i="1"/>
  <c r="C68" i="1"/>
  <c r="I32" i="7" l="1"/>
  <c r="I33" i="7" s="1"/>
  <c r="J26" i="7"/>
  <c r="C33" i="7"/>
  <c r="C26" i="7"/>
  <c r="K31" i="3"/>
  <c r="P38" i="3" s="1"/>
  <c r="J13" i="8"/>
  <c r="J15" i="8" s="1"/>
  <c r="I17" i="8"/>
  <c r="I18" i="8" s="1"/>
  <c r="I19" i="7"/>
  <c r="I20" i="7" s="1"/>
  <c r="I17" i="7"/>
  <c r="I18" i="7" s="1"/>
  <c r="G29" i="3"/>
  <c r="G30" i="3" s="1"/>
  <c r="F37" i="3" s="1"/>
  <c r="F20" i="3"/>
  <c r="P12" i="3" s="1"/>
  <c r="P15" i="3" s="1"/>
  <c r="F34" i="3"/>
  <c r="F35" i="3" s="1"/>
  <c r="P36" i="3" s="1"/>
  <c r="D54" i="1"/>
  <c r="C62" i="1" s="1"/>
  <c r="E62" i="1" s="1"/>
  <c r="G12" i="3"/>
  <c r="F19" i="3" s="1"/>
  <c r="F21" i="3" s="1"/>
  <c r="D15" i="7"/>
  <c r="C33" i="8"/>
  <c r="C59" i="8" s="1"/>
  <c r="C45" i="8"/>
  <c r="C62" i="8" s="1"/>
  <c r="C44" i="8"/>
  <c r="C54" i="8" s="1"/>
  <c r="P26" i="8"/>
  <c r="P27" i="8" s="1"/>
  <c r="D41" i="1"/>
  <c r="I32" i="8"/>
  <c r="I33" i="8" s="1"/>
  <c r="O17" i="8"/>
  <c r="O18" i="8" s="1"/>
  <c r="C48" i="1"/>
  <c r="E48" i="1" s="1"/>
  <c r="O30" i="8"/>
  <c r="O31" i="8" s="1"/>
  <c r="I30" i="8"/>
  <c r="I31" i="8" s="1"/>
  <c r="P13" i="8"/>
  <c r="P15" i="8" s="1"/>
  <c r="D14" i="8"/>
  <c r="C22" i="8" s="1"/>
  <c r="C26" i="8"/>
  <c r="C51" i="8" s="1"/>
  <c r="C28" i="7"/>
  <c r="J27" i="8"/>
  <c r="J28" i="8"/>
  <c r="J15" i="7"/>
  <c r="J14" i="7"/>
  <c r="P15" i="7"/>
  <c r="P14" i="7"/>
  <c r="O22" i="7" s="1"/>
  <c r="P27" i="7"/>
  <c r="O35" i="7" s="1"/>
  <c r="P28" i="7"/>
  <c r="J28" i="7"/>
  <c r="J27" i="7"/>
  <c r="I35" i="7" s="1"/>
  <c r="I22" i="7" l="1"/>
  <c r="O35" i="8"/>
  <c r="I35" i="8"/>
  <c r="C29" i="7"/>
  <c r="C30" i="7" s="1"/>
  <c r="J14" i="8"/>
  <c r="I22" i="8" s="1"/>
  <c r="G31" i="3"/>
  <c r="F38" i="3" s="1"/>
  <c r="P30" i="3" s="1"/>
  <c r="P33" i="3" s="1"/>
  <c r="P19" i="3"/>
  <c r="P22" i="3" s="1"/>
  <c r="F22" i="3"/>
  <c r="P28" i="8"/>
  <c r="P14" i="8"/>
  <c r="O22" i="8" s="1"/>
  <c r="Q35" i="8"/>
  <c r="C35" i="7"/>
  <c r="C36" i="7" s="1"/>
  <c r="C37" i="7" s="1"/>
  <c r="E22" i="7"/>
  <c r="P37" i="3"/>
  <c r="P40" i="3" s="1"/>
  <c r="F39" i="3"/>
  <c r="C28" i="8"/>
  <c r="E22" i="8"/>
  <c r="F40" i="3" l="1"/>
  <c r="C35" i="8"/>
  <c r="C53" i="8"/>
  <c r="C55" i="8" s="1"/>
  <c r="C56" i="8" s="1"/>
  <c r="C29" i="8"/>
  <c r="C30" i="8" s="1"/>
  <c r="C61" i="8" l="1"/>
  <c r="C63" i="8" s="1"/>
  <c r="C64" i="8" s="1"/>
  <c r="C36" i="8"/>
  <c r="C37" i="8" s="1"/>
</calcChain>
</file>

<file path=xl/sharedStrings.xml><?xml version="1.0" encoding="utf-8"?>
<sst xmlns="http://schemas.openxmlformats.org/spreadsheetml/2006/main" count="415" uniqueCount="202">
  <si>
    <t>PARAMETERS</t>
  </si>
  <si>
    <t>EXTRA PARAMETERS - LEEFTIJD KINDEREN</t>
  </si>
  <si>
    <t>Aantal kinderen</t>
  </si>
  <si>
    <t>Kinderen</t>
  </si>
  <si>
    <t>Leeftijd</t>
  </si>
  <si>
    <t>(Plus) armoedegerelateerd deel kinderbijslag</t>
  </si>
  <si>
    <t>INFO</t>
  </si>
  <si>
    <t>leefloon alleenstaande</t>
  </si>
  <si>
    <t>https://www.mi-is.be/nl/tools-ocmw/bedragen</t>
  </si>
  <si>
    <t>leefloon samenwonend = 50%</t>
  </si>
  <si>
    <t>elke post even duur - los van buitengewone kosten</t>
  </si>
  <si>
    <t>verblijfsgebonden</t>
  </si>
  <si>
    <t>verblijfsoverschrijdend</t>
  </si>
  <si>
    <t>Buitengewone</t>
  </si>
  <si>
    <t>OP</t>
  </si>
  <si>
    <t>OG</t>
  </si>
  <si>
    <t>apart te verrekenen</t>
  </si>
  <si>
    <t>week/week</t>
  </si>
  <si>
    <t>08/06 + 1/2 vak</t>
  </si>
  <si>
    <t>09/05 + 1/2 vak</t>
  </si>
  <si>
    <t>10/04 + 1/2 vak</t>
  </si>
  <si>
    <t>Kindergeld onder aftrek steun armoede</t>
  </si>
  <si>
    <t>11/03 + 1/2 vak</t>
  </si>
  <si>
    <r>
      <t xml:space="preserve">Totale gezinsinkomen  </t>
    </r>
    <r>
      <rPr>
        <sz val="10"/>
        <color theme="1"/>
        <rFont val="Calibri"/>
        <family val="2"/>
        <scheme val="minor"/>
      </rPr>
      <t xml:space="preserve"> (max 10.000,00 EUR)</t>
    </r>
  </si>
  <si>
    <t>WE + 1/2 vak</t>
  </si>
  <si>
    <t xml:space="preserve">Kosten kind(eren)   </t>
  </si>
  <si>
    <t>BEREKENING</t>
  </si>
  <si>
    <t>bruto kost</t>
  </si>
  <si>
    <t>netto kost</t>
  </si>
  <si>
    <t>Voordeel tankkaart (forf)</t>
  </si>
  <si>
    <t>OG moet betalen</t>
  </si>
  <si>
    <t>Voordeel maaltijdcheques (forf)</t>
  </si>
  <si>
    <t>OP moet betalen</t>
  </si>
  <si>
    <t>OP betaalt</t>
  </si>
  <si>
    <t>OG betaalt bruto</t>
  </si>
  <si>
    <t>OG betaalt netto</t>
  </si>
  <si>
    <t>per kind</t>
  </si>
  <si>
    <t>PROEF</t>
  </si>
  <si>
    <t xml:space="preserve">  °  in natura</t>
  </si>
  <si>
    <t>Het weze % van netto  kost</t>
  </si>
  <si>
    <t xml:space="preserve">  ° in natura</t>
  </si>
  <si>
    <t>In  totaal betaald</t>
  </si>
  <si>
    <t>INDIEN ELK VERBLIJFSGEBONDEN KOSTEN</t>
  </si>
  <si>
    <t>KINDREKENING VOOR</t>
  </si>
  <si>
    <t xml:space="preserve">   ° verblijfsoverstijgende kosten</t>
  </si>
  <si>
    <t xml:space="preserve">   ° buitengewone kosten</t>
  </si>
  <si>
    <t xml:space="preserve">Berekening verschil kinderbijslag ontvangen </t>
  </si>
  <si>
    <t>Verblijfsgebonden kosten met kinderbijslag</t>
  </si>
  <si>
    <t>Verblijfsoverstijgende kosten zonder kinderbijslag</t>
  </si>
  <si>
    <t>Totaal</t>
  </si>
  <si>
    <t>of kinderbijslag op kindrekening</t>
  </si>
  <si>
    <t>Verhouding inkomsten</t>
  </si>
  <si>
    <t xml:space="preserve">OP betaalt </t>
  </si>
  <si>
    <t>netto-kost</t>
  </si>
  <si>
    <t xml:space="preserve">  Verblijfsgebonden</t>
  </si>
  <si>
    <t xml:space="preserve">   Betaalde/ontvangen onderhoudsgeld</t>
  </si>
  <si>
    <t>OG betaalt</t>
  </si>
  <si>
    <t xml:space="preserve">   Verblijfsoverstijgend</t>
  </si>
  <si>
    <t>Kinderbijslag (onder aftrek steun armoede)</t>
  </si>
  <si>
    <t xml:space="preserve">   Vrije correctie</t>
  </si>
  <si>
    <t>Geraamde kosten</t>
  </si>
  <si>
    <t>Verblijfsgebonden kosten</t>
  </si>
  <si>
    <t>Verblijfsoverstijgende kosten</t>
  </si>
  <si>
    <t>OP betaalt aan OG</t>
  </si>
  <si>
    <t xml:space="preserve">   Ontvangen/betaalde onderhoudsgeld</t>
  </si>
  <si>
    <t>Verblijf</t>
  </si>
  <si>
    <t>OG ontvangt van OP</t>
  </si>
  <si>
    <t>OP ontvangt van OG</t>
  </si>
  <si>
    <t>OG betaalt aan OP</t>
  </si>
  <si>
    <t>Verblijfsgebonden kosten zonder kinderbijslag</t>
  </si>
  <si>
    <t>Verblijfsoverstijgende kosten met kinderbijslag</t>
  </si>
  <si>
    <t xml:space="preserve">   Ontvangen onderhoudsgeld</t>
  </si>
  <si>
    <t>Berekening percentage verblijf</t>
  </si>
  <si>
    <t>Aantal dagen</t>
  </si>
  <si>
    <t>schoolregeling</t>
  </si>
  <si>
    <t>In vakantie</t>
  </si>
  <si>
    <t>Zomervakantie</t>
  </si>
  <si>
    <t xml:space="preserve">  (aantal weken 8-9)</t>
  </si>
  <si>
    <t>Paasvakantie</t>
  </si>
  <si>
    <t>Kerstvakantie</t>
  </si>
  <si>
    <t>Krokusvakantie</t>
  </si>
  <si>
    <t>Herfstvakantie</t>
  </si>
  <si>
    <t>Subtotaal 1</t>
  </si>
  <si>
    <t>Schoolregeling</t>
  </si>
  <si>
    <t>Op 14 dagen</t>
  </si>
  <si>
    <t>Subtotaal 2</t>
  </si>
  <si>
    <t>Percentage</t>
  </si>
  <si>
    <t>Netto inkomen</t>
  </si>
  <si>
    <t>Categorie</t>
  </si>
  <si>
    <t># kids</t>
  </si>
  <si>
    <t>leeftijd</t>
  </si>
  <si>
    <t>=Blad1!C24</t>
  </si>
  <si>
    <t>#kids</t>
  </si>
  <si>
    <t>match</t>
  </si>
  <si>
    <t>match rij</t>
  </si>
  <si>
    <t>match kol</t>
  </si>
  <si>
    <t>kind</t>
  </si>
  <si>
    <t>=&lt; 2.000 €/mnd</t>
  </si>
  <si>
    <t>CAT 1</t>
  </si>
  <si>
    <t>2.001 tot =&lt; 4.500 €/mnd</t>
  </si>
  <si>
    <t>CAT 2</t>
  </si>
  <si>
    <t>4.501 tot =&lt; 6.000 €/mnd</t>
  </si>
  <si>
    <t>CAT 3</t>
  </si>
  <si>
    <t>&gt; 6.000 €/mnd</t>
  </si>
  <si>
    <t>CAT 4</t>
  </si>
  <si>
    <t>INPUT PARAMETERS EN INFO</t>
  </si>
  <si>
    <t>BEREKENING BIJDRAGE VOOR VERBLIJFSGEBONDEN ÉN VERBLIJFSOVERSTIJGENDE KOSTEN</t>
  </si>
  <si>
    <t>Onderhoudsgeld</t>
  </si>
  <si>
    <t xml:space="preserve">BEREKENING KIND 1 </t>
  </si>
  <si>
    <t>BEREKENING KIND 2</t>
  </si>
  <si>
    <t>Gegevens kinderen</t>
  </si>
  <si>
    <t>Leeftijd kind 1</t>
  </si>
  <si>
    <t>Leeftijd kind 2</t>
  </si>
  <si>
    <t>Leeftijd kind 3</t>
  </si>
  <si>
    <t>Leeftijd kind 4</t>
  </si>
  <si>
    <t xml:space="preserve">Verblijfsregeling kinderen </t>
  </si>
  <si>
    <t>Kind 1</t>
  </si>
  <si>
    <t>Kind 2</t>
  </si>
  <si>
    <t>Kind 3</t>
  </si>
  <si>
    <t>Kind 4</t>
  </si>
  <si>
    <t>vaste kosten alleenstaande</t>
  </si>
  <si>
    <t>vaste kosten samenwonende = 50%</t>
  </si>
  <si>
    <t>kosten</t>
  </si>
  <si>
    <t>Kosten</t>
  </si>
  <si>
    <t xml:space="preserve">Op kindrekening </t>
  </si>
  <si>
    <t>Inkomstengegevens ouder 1</t>
  </si>
  <si>
    <t xml:space="preserve">Sociale toeslag Groeipakket </t>
  </si>
  <si>
    <t xml:space="preserve">Vaste kosten </t>
  </si>
  <si>
    <t>Inkomstengegevens ouder 2</t>
  </si>
  <si>
    <t>ouder 2 moet betalen</t>
  </si>
  <si>
    <t>ouder 1 moet betalen</t>
  </si>
  <si>
    <t>ouder 1 betaalt bruto</t>
  </si>
  <si>
    <t>ouder 1 betaalt netto</t>
  </si>
  <si>
    <t>Ontvangen door ouder 1</t>
  </si>
  <si>
    <t>Ontvangen door ouder 2</t>
  </si>
  <si>
    <t>ouder 2 betaalt netto</t>
  </si>
  <si>
    <t>ouder 2 betaalt bruto</t>
  </si>
  <si>
    <t>Onderhoudsgeld ouder 1 betalen aan (+) of ontvangen van (-) ouder 2</t>
  </si>
  <si>
    <t>totaal</t>
  </si>
  <si>
    <t xml:space="preserve">BEREKENING KIND 3 </t>
  </si>
  <si>
    <t>BEREKENING KIND 4</t>
  </si>
  <si>
    <t>INFO OMTRENT DE VERBLIJFSOVERSTIJGENDE KOSTEN</t>
  </si>
  <si>
    <t xml:space="preserve">  °  min groeipakket</t>
  </si>
  <si>
    <t xml:space="preserve">   ° plus/min onderhoudgeld</t>
  </si>
  <si>
    <t xml:space="preserve">  ° min groeipakket</t>
  </si>
  <si>
    <t>PROEF VERBLIJFSGEBONDEN KOSTEN</t>
  </si>
  <si>
    <t>PROEF VERBLIJFSGEBONDEN EN VERBLIJFSOVERSTIJGENDE KOSTEN</t>
  </si>
  <si>
    <t>BEREKENING BIJDRAGE VOOR ENKEL VERBLIJFSGEBONDEN KOSTEN</t>
  </si>
  <si>
    <t xml:space="preserve">   ° bijdrage verblijfsoverstijgend</t>
  </si>
  <si>
    <t xml:space="preserve">Het weze % </t>
  </si>
  <si>
    <t>Ouder 1</t>
  </si>
  <si>
    <t>Ouder 2</t>
  </si>
  <si>
    <t>1. BEREKENING BIJDRAGE VOOR VERBLIJFSGEBONDEN ÉN VERBLIJFSOVERSTIJGENDE KOSTEN</t>
  </si>
  <si>
    <t>2.A. BEREKENING BIJDRAGE VOOR ENKEL VERBLIJFSGEBONDEN KOSTEN</t>
  </si>
  <si>
    <t>Groeipakket (exclusief sociale toeslag)</t>
  </si>
  <si>
    <t>Vul hier enkel het ontvangen Groeipakket in, niet de ontvangen sociale toeslag</t>
  </si>
  <si>
    <t>2.B. INFO OMTRENT DE VERBLIJFSOVERSTIJGENDE KOSTEN AFZONDERLIJK TE VERREKENEN</t>
  </si>
  <si>
    <t>Worden enkel de buitengewone kosten apart afgerekend, dan leest u hier de onderhoudsbijdrage die</t>
  </si>
  <si>
    <t>Worden zowel de buitengewone kosten als de (gewone) verblijfsoverstijgende kosten apart afgerekend</t>
  </si>
  <si>
    <t>dient als correctie voor én de verblijfsgebonden én de (gewone) verblijfsoverstijgende kosten</t>
  </si>
  <si>
    <t xml:space="preserve"> kosten</t>
  </si>
  <si>
    <t xml:space="preserve">of via een kindrekening betaald dan leest u hier de onderhoudsbijdrage als correctie van de verblijfsgebonden </t>
  </si>
  <si>
    <t>Gemiddeld inkomen per maand</t>
  </si>
  <si>
    <t>Wenst u geen aparte berekening per kind, dan kan u het groeipakkte integraal aangeven onder kind 1</t>
  </si>
  <si>
    <t xml:space="preserve">                   www.advocaat-bemiddelaar.gent</t>
  </si>
  <si>
    <t xml:space="preserve">Bijdrage in natura ouder 1 in de verblijfsgebonden kosten </t>
  </si>
  <si>
    <t>Bijdrage in natura ouder 1 in de verblijfsoverstijgende kosten</t>
  </si>
  <si>
    <t>Bijdrage in natura ouder 2 in de verblijfsgebonden kosten</t>
  </si>
  <si>
    <t>Bijdrage in natura ouder 2 in de verblijfsoverstijgende kosten</t>
  </si>
  <si>
    <t xml:space="preserve">Totale bedrag kindergeld </t>
  </si>
  <si>
    <t>bij ouder 1</t>
  </si>
  <si>
    <t>bij ouder 2</t>
  </si>
  <si>
    <t>ouder 1</t>
  </si>
  <si>
    <t>ouder 2</t>
  </si>
  <si>
    <t>Gemiddeld inkomen ouder 1</t>
  </si>
  <si>
    <t>(Min) Vaste kosten ouder 1</t>
  </si>
  <si>
    <t>Overblijvende middelen ouder 1</t>
  </si>
  <si>
    <t>Gemiddeld inkomen ouder 2</t>
  </si>
  <si>
    <t>(Min) vaste kosten ouder 2</t>
  </si>
  <si>
    <t>Overblijvende middelen ouder 2</t>
  </si>
  <si>
    <t>Aandeel ouder 1 in inkomen</t>
  </si>
  <si>
    <t>Aandeel ouder 1 in overblijvende middelen</t>
  </si>
  <si>
    <t>Aandeel ouder 2 in inkomen</t>
  </si>
  <si>
    <t>Aandeel ouder 2 in overblijvende middelen</t>
  </si>
  <si>
    <t>Bijdrage in natura ouder 1 verblijfsgebonden kost obv verblijf (= 1/2)</t>
  </si>
  <si>
    <t>Bijdrage in natura ouder 1 verblijfsoverschrijdende kost (=1/2)</t>
  </si>
  <si>
    <t>Totale bijdrage in natura ouder 1</t>
  </si>
  <si>
    <t>Bijdrage in natura ouder 2 obv verblijf (= 1/2)</t>
  </si>
  <si>
    <t>Bijdrage in natura ouder 2 verblijfsoverschrijdende kost (=1/2)</t>
  </si>
  <si>
    <t>Totale bijdrage in natura ouder 2</t>
  </si>
  <si>
    <t>ouder 1 dient te betalen</t>
  </si>
  <si>
    <t>ouder 2 dient te betalen</t>
  </si>
  <si>
    <t>ouder 1 betaalt in totaal</t>
  </si>
  <si>
    <t>ouder 2 betaalt in totaal</t>
  </si>
  <si>
    <t>Wanneer enkel het totaalbedrag van het groeipakket gekend is, zonder de onderverdeling per kind, wordt aangeraden dit</t>
  </si>
  <si>
    <t xml:space="preserve">totaalbedrag te delen door het aantal kinderen. Wanneer dit totaalbedrag ook berekend werd met inbegrip van kinderen </t>
  </si>
  <si>
    <t>die niet onder de onderhoudsplicht vallen van de andere ouder, wordt aangeraden dit totaalbedrag te delen door het totaal</t>
  </si>
  <si>
    <t>aantal kinderen, en vervolgens enkel de bedragen in rekening te brengen van die kinderen waarover de berekening handelt.</t>
  </si>
  <si>
    <t>Voordeel wagen (forf)</t>
  </si>
  <si>
    <t>Wanneer het verschil met het inkomen te klein is wordt afgeraden om met deze forfaitaire kost te werken</t>
  </si>
  <si>
    <t>https://www.mi-is.be/nl/tools-ocmw/bedragen-equivalent-leefloon</t>
  </si>
  <si>
    <t>update leefloon 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</si>
</sst>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€&quot;\ #,##0.00;[Red]&quot;€&quot;\ \-#,##0.00"/>
    <numFmt numFmtId="164" formatCode="#,##0.00\ &quot;€&quot;;[Red]\-#,##0.00\ &quot;€&quot;"/>
    <numFmt numFmtId="165" formatCode="&quot;€&quot;\ #,##0.00"/>
    <numFmt numFmtId="166" formatCode="#,##0.0000"/>
    <numFmt numFmtId="167" formatCode="#,##0.00\ _€"/>
    <numFmt numFmtId="168" formatCode="#,##0.00\ &quot;€&quot;"/>
  </numFmts>
  <fonts count="3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u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u/>
      <sz val="8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0" xfId="0" applyNumberFormat="1"/>
    <xf numFmtId="9" fontId="0" fillId="0" borderId="0" xfId="0" applyNumberFormat="1"/>
    <xf numFmtId="165" fontId="2" fillId="0" borderId="0" xfId="0" applyNumberFormat="1" applyFont="1"/>
    <xf numFmtId="0" fontId="0" fillId="0" borderId="7" xfId="0" applyBorder="1"/>
    <xf numFmtId="0" fontId="0" fillId="0" borderId="0" xfId="0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3" xfId="0" applyFont="1" applyBorder="1"/>
    <xf numFmtId="10" fontId="0" fillId="0" borderId="5" xfId="0" applyNumberFormat="1" applyBorder="1"/>
    <xf numFmtId="165" fontId="0" fillId="0" borderId="5" xfId="0" applyNumberFormat="1" applyBorder="1"/>
    <xf numFmtId="165" fontId="2" fillId="0" borderId="5" xfId="0" applyNumberFormat="1" applyFont="1" applyBorder="1"/>
    <xf numFmtId="0" fontId="10" fillId="0" borderId="0" xfId="0" applyFont="1" applyAlignment="1">
      <alignment horizontal="center"/>
    </xf>
    <xf numFmtId="0" fontId="0" fillId="0" borderId="5" xfId="0" applyBorder="1" applyAlignment="1">
      <alignment horizontal="right"/>
    </xf>
    <xf numFmtId="0" fontId="0" fillId="4" borderId="16" xfId="0" quotePrefix="1" applyFill="1" applyBorder="1" applyAlignment="1">
      <alignment horizontal="center"/>
    </xf>
    <xf numFmtId="0" fontId="0" fillId="5" borderId="17" xfId="0" quotePrefix="1" applyFill="1" applyBorder="1" applyAlignment="1">
      <alignment horizontal="center"/>
    </xf>
    <xf numFmtId="0" fontId="0" fillId="6" borderId="17" xfId="0" quotePrefix="1" applyFill="1" applyBorder="1" applyAlignment="1">
      <alignment horizontal="center"/>
    </xf>
    <xf numFmtId="0" fontId="0" fillId="7" borderId="18" xfId="0" quotePrefix="1" applyFill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9" fillId="0" borderId="23" xfId="0" applyFont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0" fillId="8" borderId="24" xfId="0" applyFill="1" applyBorder="1"/>
    <xf numFmtId="10" fontId="0" fillId="5" borderId="21" xfId="1" quotePrefix="1" applyNumberFormat="1" applyFont="1" applyFill="1" applyBorder="1" applyAlignment="1">
      <alignment horizontal="center"/>
    </xf>
    <xf numFmtId="10" fontId="0" fillId="6" borderId="21" xfId="1" quotePrefix="1" applyNumberFormat="1" applyFont="1" applyFill="1" applyBorder="1" applyAlignment="1">
      <alignment horizontal="center"/>
    </xf>
    <xf numFmtId="10" fontId="0" fillId="7" borderId="22" xfId="1" quotePrefix="1" applyNumberFormat="1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0" fillId="9" borderId="0" xfId="0" applyFill="1"/>
    <xf numFmtId="3" fontId="0" fillId="0" borderId="0" xfId="0" applyNumberFormat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/>
    <xf numFmtId="166" fontId="0" fillId="0" borderId="0" xfId="0" applyNumberFormat="1"/>
    <xf numFmtId="3" fontId="0" fillId="0" borderId="25" xfId="0" applyNumberFormat="1" applyBorder="1" applyAlignment="1">
      <alignment horizontal="center"/>
    </xf>
    <xf numFmtId="166" fontId="0" fillId="0" borderId="25" xfId="0" applyNumberFormat="1" applyBorder="1"/>
    <xf numFmtId="3" fontId="0" fillId="0" borderId="0" xfId="0" applyNumberFormat="1"/>
    <xf numFmtId="0" fontId="2" fillId="8" borderId="19" xfId="0" applyFont="1" applyFill="1" applyBorder="1" applyAlignment="1">
      <alignment horizontal="center"/>
    </xf>
    <xf numFmtId="10" fontId="0" fillId="5" borderId="26" xfId="1" quotePrefix="1" applyNumberFormat="1" applyFont="1" applyFill="1" applyBorder="1" applyAlignment="1">
      <alignment horizontal="center"/>
    </xf>
    <xf numFmtId="10" fontId="0" fillId="6" borderId="26" xfId="1" quotePrefix="1" applyNumberFormat="1" applyFont="1" applyFill="1" applyBorder="1" applyAlignment="1">
      <alignment horizontal="center"/>
    </xf>
    <xf numFmtId="10" fontId="0" fillId="7" borderId="27" xfId="1" quotePrefix="1" applyNumberFormat="1" applyFont="1" applyFill="1" applyBorder="1" applyAlignment="1">
      <alignment horizontal="center"/>
    </xf>
    <xf numFmtId="10" fontId="0" fillId="0" borderId="0" xfId="1" applyNumberFormat="1" applyFont="1"/>
    <xf numFmtId="164" fontId="0" fillId="14" borderId="0" xfId="0" applyNumberFormat="1" applyFill="1"/>
    <xf numFmtId="10" fontId="0" fillId="0" borderId="25" xfId="1" applyNumberFormat="1" applyFont="1" applyBorder="1"/>
    <xf numFmtId="0" fontId="0" fillId="0" borderId="8" xfId="0" applyBorder="1"/>
    <xf numFmtId="0" fontId="0" fillId="0" borderId="3" xfId="0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8" xfId="0" applyFont="1" applyFill="1" applyBorder="1"/>
    <xf numFmtId="0" fontId="2" fillId="4" borderId="1" xfId="0" applyFont="1" applyFill="1" applyBorder="1"/>
    <xf numFmtId="0" fontId="2" fillId="4" borderId="3" xfId="0" applyFont="1" applyFill="1" applyBorder="1"/>
    <xf numFmtId="0" fontId="2" fillId="0" borderId="0" xfId="0" applyFont="1"/>
    <xf numFmtId="0" fontId="2" fillId="0" borderId="2" xfId="0" applyFont="1" applyBorder="1"/>
    <xf numFmtId="0" fontId="2" fillId="4" borderId="6" xfId="0" applyFont="1" applyFill="1" applyBorder="1"/>
    <xf numFmtId="0" fontId="0" fillId="4" borderId="8" xfId="0" applyFill="1" applyBorder="1"/>
    <xf numFmtId="0" fontId="5" fillId="0" borderId="4" xfId="0" applyFont="1" applyBorder="1"/>
    <xf numFmtId="9" fontId="1" fillId="0" borderId="5" xfId="0" applyNumberFormat="1" applyFont="1" applyBorder="1"/>
    <xf numFmtId="9" fontId="0" fillId="0" borderId="5" xfId="0" applyNumberFormat="1" applyBorder="1"/>
    <xf numFmtId="165" fontId="6" fillId="0" borderId="5" xfId="0" applyNumberFormat="1" applyFont="1" applyBorder="1"/>
    <xf numFmtId="165" fontId="1" fillId="0" borderId="5" xfId="0" applyNumberFormat="1" applyFont="1" applyBorder="1"/>
    <xf numFmtId="165" fontId="2" fillId="2" borderId="9" xfId="0" applyNumberFormat="1" applyFont="1" applyFill="1" applyBorder="1"/>
    <xf numFmtId="10" fontId="1" fillId="0" borderId="5" xfId="0" applyNumberFormat="1" applyFont="1" applyBorder="1"/>
    <xf numFmtId="10" fontId="1" fillId="0" borderId="8" xfId="0" applyNumberFormat="1" applyFont="1" applyBorder="1"/>
    <xf numFmtId="165" fontId="2" fillId="0" borderId="7" xfId="0" applyNumberFormat="1" applyFont="1" applyBorder="1"/>
    <xf numFmtId="165" fontId="1" fillId="0" borderId="5" xfId="0" applyNumberFormat="1" applyFont="1" applyBorder="1" applyProtection="1">
      <protection locked="0"/>
    </xf>
    <xf numFmtId="0" fontId="31" fillId="0" borderId="0" xfId="2" applyFont="1" applyProtection="1">
      <protection locked="0" hidden="1"/>
    </xf>
    <xf numFmtId="168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" fillId="3" borderId="1" xfId="0" applyFont="1" applyFill="1" applyBorder="1" applyProtection="1">
      <protection hidden="1"/>
    </xf>
    <xf numFmtId="168" fontId="0" fillId="3" borderId="3" xfId="0" applyNumberFormat="1" applyFill="1" applyBorder="1" applyProtection="1">
      <protection hidden="1"/>
    </xf>
    <xf numFmtId="0" fontId="20" fillId="4" borderId="10" xfId="0" applyFont="1" applyFill="1" applyBorder="1" applyProtection="1">
      <protection hidden="1"/>
    </xf>
    <xf numFmtId="165" fontId="20" fillId="4" borderId="11" xfId="0" applyNumberFormat="1" applyFont="1" applyFill="1" applyBorder="1" applyProtection="1">
      <protection hidden="1"/>
    </xf>
    <xf numFmtId="0" fontId="20" fillId="4" borderId="11" xfId="0" applyFont="1" applyFill="1" applyBorder="1" applyProtection="1">
      <protection hidden="1"/>
    </xf>
    <xf numFmtId="0" fontId="20" fillId="4" borderId="12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0" fillId="0" borderId="29" xfId="0" applyBorder="1" applyProtection="1">
      <protection hidden="1"/>
    </xf>
    <xf numFmtId="3" fontId="25" fillId="0" borderId="30" xfId="0" applyNumberFormat="1" applyFont="1" applyBorder="1" applyProtection="1">
      <protection locked="0" hidden="1"/>
    </xf>
    <xf numFmtId="0" fontId="17" fillId="0" borderId="4" xfId="0" applyFont="1" applyBorder="1" applyProtection="1">
      <protection hidden="1"/>
    </xf>
    <xf numFmtId="0" fontId="22" fillId="0" borderId="0" xfId="2" applyFont="1" applyBorder="1" applyProtection="1">
      <protection locked="0" hidden="1"/>
    </xf>
    <xf numFmtId="0" fontId="22" fillId="0" borderId="0" xfId="2" applyFont="1" applyBorder="1" applyProtection="1">
      <protection hidden="1"/>
    </xf>
    <xf numFmtId="0" fontId="17" fillId="0" borderId="5" xfId="0" applyFont="1" applyBorder="1" applyProtection="1">
      <protection hidden="1"/>
    </xf>
    <xf numFmtId="3" fontId="1" fillId="0" borderId="0" xfId="0" applyNumberFormat="1" applyFont="1" applyProtection="1">
      <protection locked="0" hidden="1"/>
    </xf>
    <xf numFmtId="0" fontId="20" fillId="0" borderId="1" xfId="0" applyFont="1" applyBorder="1" applyProtection="1">
      <protection hidden="1"/>
    </xf>
    <xf numFmtId="0" fontId="20" fillId="0" borderId="3" xfId="0" applyFont="1" applyBorder="1" applyProtection="1">
      <protection hidden="1"/>
    </xf>
    <xf numFmtId="0" fontId="20" fillId="0" borderId="6" xfId="0" applyFont="1" applyBorder="1" applyAlignment="1" applyProtection="1">
      <alignment horizontal="center"/>
      <protection hidden="1"/>
    </xf>
    <xf numFmtId="0" fontId="17" fillId="0" borderId="8" xfId="0" applyFont="1" applyBorder="1" applyAlignment="1" applyProtection="1">
      <alignment horizontal="center"/>
      <protection hidden="1"/>
    </xf>
    <xf numFmtId="0" fontId="20" fillId="0" borderId="8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0" fontId="20" fillId="0" borderId="5" xfId="0" applyFont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5" xfId="0" applyFont="1" applyBorder="1" applyAlignment="1" applyProtection="1">
      <alignment horizontal="center"/>
      <protection hidden="1"/>
    </xf>
    <xf numFmtId="10" fontId="17" fillId="0" borderId="4" xfId="0" applyNumberFormat="1" applyFont="1" applyBorder="1" applyProtection="1">
      <protection hidden="1"/>
    </xf>
    <xf numFmtId="10" fontId="17" fillId="0" borderId="5" xfId="0" applyNumberFormat="1" applyFont="1" applyBorder="1" applyProtection="1">
      <protection hidden="1"/>
    </xf>
    <xf numFmtId="10" fontId="17" fillId="0" borderId="0" xfId="0" applyNumberFormat="1" applyFont="1" applyProtection="1">
      <protection hidden="1"/>
    </xf>
    <xf numFmtId="0" fontId="2" fillId="3" borderId="10" xfId="0" applyFont="1" applyFill="1" applyBorder="1" applyProtection="1">
      <protection hidden="1"/>
    </xf>
    <xf numFmtId="168" fontId="2" fillId="3" borderId="12" xfId="0" applyNumberFormat="1" applyFont="1" applyFill="1" applyBorder="1" applyProtection="1">
      <protection hidden="1"/>
    </xf>
    <xf numFmtId="168" fontId="1" fillId="0" borderId="0" xfId="0" applyNumberFormat="1" applyFont="1" applyProtection="1">
      <protection locked="0" hidden="1"/>
    </xf>
    <xf numFmtId="0" fontId="17" fillId="0" borderId="6" xfId="0" applyFont="1" applyBorder="1" applyProtection="1">
      <protection hidden="1"/>
    </xf>
    <xf numFmtId="10" fontId="17" fillId="0" borderId="6" xfId="0" applyNumberFormat="1" applyFont="1" applyBorder="1" applyProtection="1">
      <protection hidden="1"/>
    </xf>
    <xf numFmtId="10" fontId="17" fillId="0" borderId="8" xfId="0" applyNumberFormat="1" applyFont="1" applyBorder="1" applyProtection="1">
      <protection hidden="1"/>
    </xf>
    <xf numFmtId="10" fontId="17" fillId="0" borderId="7" xfId="0" applyNumberFormat="1" applyFont="1" applyBorder="1" applyProtection="1">
      <protection hidden="1"/>
    </xf>
    <xf numFmtId="0" fontId="17" fillId="0" borderId="7" xfId="0" applyFont="1" applyBorder="1" applyProtection="1">
      <protection hidden="1"/>
    </xf>
    <xf numFmtId="0" fontId="23" fillId="0" borderId="1" xfId="0" applyFont="1" applyBorder="1" applyProtection="1">
      <protection hidden="1"/>
    </xf>
    <xf numFmtId="165" fontId="24" fillId="0" borderId="2" xfId="0" applyNumberFormat="1" applyFont="1" applyBorder="1" applyProtection="1">
      <protection hidden="1"/>
    </xf>
    <xf numFmtId="10" fontId="17" fillId="0" borderId="2" xfId="0" applyNumberFormat="1" applyFont="1" applyBorder="1" applyProtection="1">
      <protection hidden="1"/>
    </xf>
    <xf numFmtId="0" fontId="17" fillId="0" borderId="2" xfId="0" applyFont="1" applyBorder="1" applyProtection="1">
      <protection hidden="1"/>
    </xf>
    <xf numFmtId="10" fontId="17" fillId="0" borderId="3" xfId="0" applyNumberFormat="1" applyFont="1" applyBorder="1" applyProtection="1">
      <protection hidden="1"/>
    </xf>
    <xf numFmtId="0" fontId="23" fillId="0" borderId="4" xfId="0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3" fillId="0" borderId="6" xfId="0" applyFont="1" applyBorder="1" applyProtection="1">
      <protection hidden="1"/>
    </xf>
    <xf numFmtId="165" fontId="24" fillId="0" borderId="7" xfId="0" applyNumberFormat="1" applyFont="1" applyBorder="1" applyProtection="1">
      <protection hidden="1"/>
    </xf>
    <xf numFmtId="168" fontId="0" fillId="3" borderId="12" xfId="0" applyNumberFormat="1" applyFill="1" applyBorder="1" applyProtection="1">
      <protection hidden="1"/>
    </xf>
    <xf numFmtId="10" fontId="1" fillId="0" borderId="0" xfId="0" applyNumberFormat="1" applyFont="1" applyProtection="1">
      <protection locked="0" hidden="1"/>
    </xf>
    <xf numFmtId="10" fontId="0" fillId="0" borderId="0" xfId="0" applyNumberFormat="1" applyProtection="1">
      <protection hidden="1"/>
    </xf>
    <xf numFmtId="0" fontId="19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7" fillId="0" borderId="0" xfId="2" applyFont="1" applyProtection="1">
      <protection hidden="1"/>
    </xf>
    <xf numFmtId="0" fontId="29" fillId="0" borderId="0" xfId="2" applyFont="1" applyProtection="1">
      <protection hidden="1"/>
    </xf>
    <xf numFmtId="0" fontId="30" fillId="0" borderId="0" xfId="0" applyFont="1" applyProtection="1">
      <protection hidden="1"/>
    </xf>
    <xf numFmtId="0" fontId="31" fillId="0" borderId="0" xfId="2" applyFont="1" applyProtection="1">
      <protection hidden="1"/>
    </xf>
    <xf numFmtId="0" fontId="2" fillId="3" borderId="11" xfId="0" applyFont="1" applyFill="1" applyBorder="1" applyProtection="1">
      <protection hidden="1"/>
    </xf>
    <xf numFmtId="0" fontId="2" fillId="3" borderId="12" xfId="0" applyFont="1" applyFill="1" applyBorder="1" applyProtection="1">
      <protection hidden="1"/>
    </xf>
    <xf numFmtId="165" fontId="2" fillId="3" borderId="11" xfId="0" applyNumberFormat="1" applyFont="1" applyFill="1" applyBorder="1" applyProtection="1">
      <protection hidden="1"/>
    </xf>
    <xf numFmtId="0" fontId="0" fillId="0" borderId="4" xfId="0" applyBorder="1" applyProtection="1">
      <protection hidden="1"/>
    </xf>
    <xf numFmtId="3" fontId="0" fillId="0" borderId="0" xfId="0" applyNumberFormat="1" applyProtection="1">
      <protection hidden="1"/>
    </xf>
    <xf numFmtId="0" fontId="0" fillId="0" borderId="5" xfId="0" applyBorder="1" applyProtection="1">
      <protection hidden="1"/>
    </xf>
    <xf numFmtId="0" fontId="11" fillId="0" borderId="4" xfId="0" applyFont="1" applyBorder="1" applyAlignment="1" applyProtection="1">
      <alignment horizontal="right" indent="2"/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0" fontId="0" fillId="0" borderId="4" xfId="0" applyBorder="1" applyAlignment="1" applyProtection="1">
      <alignment horizontal="right" indent="2"/>
      <protection hidden="1"/>
    </xf>
    <xf numFmtId="3" fontId="0" fillId="0" borderId="0" xfId="0" applyNumberForma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6" fillId="0" borderId="0" xfId="0" applyNumberFormat="1" applyFont="1" applyProtection="1">
      <protection hidden="1"/>
    </xf>
    <xf numFmtId="0" fontId="7" fillId="0" borderId="4" xfId="0" applyFont="1" applyBorder="1" applyProtection="1">
      <protection hidden="1"/>
    </xf>
    <xf numFmtId="165" fontId="7" fillId="0" borderId="0" xfId="0" applyNumberFormat="1" applyFont="1" applyProtection="1">
      <protection hidden="1"/>
    </xf>
    <xf numFmtId="3" fontId="1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9" fontId="7" fillId="0" borderId="0" xfId="0" applyNumberFormat="1" applyFont="1" applyProtection="1">
      <protection hidden="1"/>
    </xf>
    <xf numFmtId="0" fontId="2" fillId="4" borderId="10" xfId="0" applyFont="1" applyFill="1" applyBorder="1" applyProtection="1">
      <protection hidden="1"/>
    </xf>
    <xf numFmtId="165" fontId="2" fillId="4" borderId="11" xfId="0" applyNumberFormat="1" applyFont="1" applyFill="1" applyBorder="1" applyProtection="1">
      <protection hidden="1"/>
    </xf>
    <xf numFmtId="0" fontId="2" fillId="4" borderId="11" xfId="0" applyFont="1" applyFill="1" applyBorder="1" applyProtection="1">
      <protection hidden="1"/>
    </xf>
    <xf numFmtId="0" fontId="2" fillId="4" borderId="12" xfId="0" applyFont="1" applyFill="1" applyBorder="1" applyProtection="1">
      <protection hidden="1"/>
    </xf>
    <xf numFmtId="165" fontId="12" fillId="0" borderId="0" xfId="0" applyNumberFormat="1" applyFont="1" applyProtection="1">
      <protection hidden="1"/>
    </xf>
    <xf numFmtId="0" fontId="16" fillId="0" borderId="0" xfId="2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10" fontId="7" fillId="0" borderId="0" xfId="0" applyNumberFormat="1" applyFont="1" applyProtection="1"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center"/>
      <protection hidden="1"/>
    </xf>
    <xf numFmtId="10" fontId="0" fillId="0" borderId="4" xfId="0" applyNumberFormat="1" applyBorder="1" applyProtection="1">
      <protection hidden="1"/>
    </xf>
    <xf numFmtId="10" fontId="0" fillId="0" borderId="5" xfId="0" applyNumberFormat="1" applyBorder="1" applyProtection="1">
      <protection hidden="1"/>
    </xf>
    <xf numFmtId="165" fontId="1" fillId="0" borderId="0" xfId="0" applyNumberFormat="1" applyFont="1" applyProtection="1">
      <protection hidden="1"/>
    </xf>
    <xf numFmtId="165" fontId="1" fillId="0" borderId="5" xfId="0" applyNumberFormat="1" applyFont="1" applyBorder="1" applyProtection="1">
      <protection hidden="1"/>
    </xf>
    <xf numFmtId="165" fontId="1" fillId="0" borderId="7" xfId="0" applyNumberFormat="1" applyFont="1" applyBorder="1" applyProtection="1">
      <protection locked="0" hidden="1"/>
    </xf>
    <xf numFmtId="10" fontId="7" fillId="0" borderId="7" xfId="0" applyNumberFormat="1" applyFont="1" applyBorder="1" applyProtection="1">
      <protection hidden="1"/>
    </xf>
    <xf numFmtId="165" fontId="6" fillId="0" borderId="8" xfId="0" applyNumberFormat="1" applyFont="1" applyBorder="1" applyProtection="1">
      <protection hidden="1"/>
    </xf>
    <xf numFmtId="10" fontId="0" fillId="0" borderId="6" xfId="0" applyNumberFormat="1" applyBorder="1" applyProtection="1">
      <protection hidden="1"/>
    </xf>
    <xf numFmtId="10" fontId="0" fillId="0" borderId="8" xfId="0" applyNumberFormat="1" applyBorder="1" applyProtection="1">
      <protection hidden="1"/>
    </xf>
    <xf numFmtId="10" fontId="0" fillId="0" borderId="7" xfId="0" applyNumberFormat="1" applyBorder="1" applyProtection="1">
      <protection hidden="1"/>
    </xf>
    <xf numFmtId="165" fontId="6" fillId="0" borderId="5" xfId="0" applyNumberFormat="1" applyFont="1" applyBorder="1" applyProtection="1">
      <protection hidden="1"/>
    </xf>
    <xf numFmtId="9" fontId="0" fillId="0" borderId="0" xfId="0" applyNumberFormat="1" applyProtection="1">
      <protection hidden="1"/>
    </xf>
    <xf numFmtId="165" fontId="2" fillId="0" borderId="0" xfId="0" applyNumberFormat="1" applyFont="1" applyProtection="1">
      <protection hidden="1"/>
    </xf>
    <xf numFmtId="165" fontId="0" fillId="0" borderId="5" xfId="0" applyNumberFormat="1" applyBorder="1" applyProtection="1">
      <protection hidden="1"/>
    </xf>
    <xf numFmtId="0" fontId="0" fillId="16" borderId="6" xfId="0" applyFill="1" applyBorder="1" applyProtection="1">
      <protection hidden="1"/>
    </xf>
    <xf numFmtId="165" fontId="2" fillId="16" borderId="7" xfId="0" applyNumberFormat="1" applyFont="1" applyFill="1" applyBorder="1" applyProtection="1">
      <protection hidden="1"/>
    </xf>
    <xf numFmtId="165" fontId="0" fillId="16" borderId="7" xfId="0" applyNumberFormat="1" applyFill="1" applyBorder="1" applyProtection="1">
      <protection hidden="1"/>
    </xf>
    <xf numFmtId="0" fontId="0" fillId="16" borderId="8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16" borderId="4" xfId="0" applyFill="1" applyBorder="1" applyProtection="1">
      <protection hidden="1"/>
    </xf>
    <xf numFmtId="165" fontId="2" fillId="16" borderId="0" xfId="0" applyNumberFormat="1" applyFont="1" applyFill="1" applyProtection="1">
      <protection hidden="1"/>
    </xf>
    <xf numFmtId="165" fontId="0" fillId="16" borderId="0" xfId="0" applyNumberFormat="1" applyFill="1" applyProtection="1">
      <protection hidden="1"/>
    </xf>
    <xf numFmtId="0" fontId="0" fillId="16" borderId="5" xfId="0" applyFill="1" applyBorder="1" applyProtection="1">
      <protection hidden="1"/>
    </xf>
    <xf numFmtId="165" fontId="0" fillId="3" borderId="11" xfId="0" applyNumberFormat="1" applyFill="1" applyBorder="1" applyProtection="1">
      <protection hidden="1"/>
    </xf>
    <xf numFmtId="9" fontId="0" fillId="16" borderId="0" xfId="0" applyNumberFormat="1" applyFill="1" applyProtection="1">
      <protection hidden="1"/>
    </xf>
    <xf numFmtId="165" fontId="2" fillId="0" borderId="7" xfId="0" applyNumberFormat="1" applyFont="1" applyBorder="1" applyProtection="1">
      <protection hidden="1"/>
    </xf>
    <xf numFmtId="9" fontId="0" fillId="16" borderId="7" xfId="0" applyNumberFormat="1" applyFill="1" applyBorder="1" applyProtection="1">
      <protection hidden="1"/>
    </xf>
    <xf numFmtId="0" fontId="2" fillId="15" borderId="10" xfId="0" applyFont="1" applyFill="1" applyBorder="1" applyProtection="1">
      <protection hidden="1"/>
    </xf>
    <xf numFmtId="0" fontId="2" fillId="15" borderId="11" xfId="0" applyFont="1" applyFill="1" applyBorder="1" applyProtection="1">
      <protection hidden="1"/>
    </xf>
    <xf numFmtId="0" fontId="2" fillId="15" borderId="12" xfId="0" applyFont="1" applyFill="1" applyBorder="1" applyProtection="1">
      <protection hidden="1"/>
    </xf>
    <xf numFmtId="165" fontId="0" fillId="0" borderId="7" xfId="0" applyNumberFormat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165" fontId="2" fillId="0" borderId="5" xfId="0" applyNumberFormat="1" applyFont="1" applyBorder="1" applyProtection="1">
      <protection hidden="1"/>
    </xf>
    <xf numFmtId="9" fontId="7" fillId="0" borderId="5" xfId="0" applyNumberFormat="1" applyFont="1" applyBorder="1" applyProtection="1">
      <protection hidden="1"/>
    </xf>
    <xf numFmtId="9" fontId="7" fillId="0" borderId="7" xfId="0" applyNumberFormat="1" applyFont="1" applyBorder="1" applyProtection="1">
      <protection hidden="1"/>
    </xf>
    <xf numFmtId="9" fontId="7" fillId="0" borderId="8" xfId="0" applyNumberFormat="1" applyFont="1" applyBorder="1" applyProtection="1">
      <protection hidden="1"/>
    </xf>
    <xf numFmtId="165" fontId="7" fillId="0" borderId="7" xfId="0" applyNumberFormat="1" applyFont="1" applyBorder="1" applyProtection="1">
      <protection hidden="1"/>
    </xf>
    <xf numFmtId="165" fontId="0" fillId="15" borderId="11" xfId="0" applyNumberFormat="1" applyFill="1" applyBorder="1" applyProtection="1">
      <protection hidden="1"/>
    </xf>
    <xf numFmtId="0" fontId="0" fillId="15" borderId="11" xfId="0" applyFill="1" applyBorder="1" applyProtection="1">
      <protection hidden="1"/>
    </xf>
    <xf numFmtId="0" fontId="0" fillId="15" borderId="12" xfId="0" applyFill="1" applyBorder="1" applyProtection="1">
      <protection hidden="1"/>
    </xf>
    <xf numFmtId="0" fontId="13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14" fillId="0" borderId="25" xfId="0" applyFont="1" applyBorder="1" applyProtection="1">
      <protection hidden="1"/>
    </xf>
    <xf numFmtId="0" fontId="14" fillId="0" borderId="28" xfId="0" applyFont="1" applyBorder="1" applyProtection="1">
      <protection hidden="1"/>
    </xf>
    <xf numFmtId="167" fontId="0" fillId="0" borderId="0" xfId="0" applyNumberFormat="1" applyProtection="1">
      <protection hidden="1"/>
    </xf>
    <xf numFmtId="1" fontId="15" fillId="0" borderId="0" xfId="0" applyNumberFormat="1" applyFont="1" applyProtection="1">
      <protection locked="0" hidden="1"/>
    </xf>
    <xf numFmtId="1" fontId="15" fillId="0" borderId="5" xfId="0" applyNumberFormat="1" applyFont="1" applyBorder="1" applyProtection="1">
      <protection locked="0" hidden="1"/>
    </xf>
    <xf numFmtId="1" fontId="15" fillId="0" borderId="0" xfId="0" applyNumberFormat="1" applyFont="1" applyProtection="1">
      <protection hidden="1"/>
    </xf>
    <xf numFmtId="1" fontId="15" fillId="0" borderId="5" xfId="0" applyNumberFormat="1" applyFont="1" applyBorder="1" applyProtection="1">
      <protection hidden="1"/>
    </xf>
    <xf numFmtId="1" fontId="0" fillId="0" borderId="0" xfId="0" applyNumberFormat="1" applyProtection="1">
      <protection hidden="1"/>
    </xf>
    <xf numFmtId="1" fontId="0" fillId="0" borderId="5" xfId="0" applyNumberFormat="1" applyBorder="1" applyProtection="1">
      <protection hidden="1"/>
    </xf>
    <xf numFmtId="0" fontId="14" fillId="0" borderId="4" xfId="0" applyFont="1" applyBorder="1" applyProtection="1">
      <protection hidden="1"/>
    </xf>
    <xf numFmtId="0" fontId="14" fillId="0" borderId="0" xfId="0" applyFont="1" applyProtection="1">
      <protection hidden="1"/>
    </xf>
    <xf numFmtId="167" fontId="14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1" fontId="14" fillId="0" borderId="5" xfId="0" applyNumberFormat="1" applyFont="1" applyBorder="1" applyProtection="1">
      <protection hidden="1"/>
    </xf>
    <xf numFmtId="1" fontId="14" fillId="0" borderId="25" xfId="0" applyNumberFormat="1" applyFont="1" applyBorder="1" applyProtection="1">
      <protection hidden="1"/>
    </xf>
    <xf numFmtId="1" fontId="14" fillId="0" borderId="28" xfId="0" applyNumberFormat="1" applyFont="1" applyBorder="1" applyProtection="1">
      <protection hidden="1"/>
    </xf>
    <xf numFmtId="167" fontId="0" fillId="0" borderId="5" xfId="0" applyNumberFormat="1" applyBorder="1" applyProtection="1">
      <protection hidden="1"/>
    </xf>
    <xf numFmtId="3" fontId="3" fillId="0" borderId="2" xfId="0" applyNumberFormat="1" applyFont="1" applyBorder="1" applyProtection="1">
      <protection hidden="1"/>
    </xf>
    <xf numFmtId="1" fontId="3" fillId="0" borderId="2" xfId="0" applyNumberFormat="1" applyFont="1" applyBorder="1" applyProtection="1">
      <protection hidden="1"/>
    </xf>
    <xf numFmtId="1" fontId="3" fillId="0" borderId="3" xfId="0" applyNumberFormat="1" applyFont="1" applyBorder="1" applyProtection="1">
      <protection hidden="1"/>
    </xf>
    <xf numFmtId="9" fontId="3" fillId="0" borderId="7" xfId="0" applyNumberFormat="1" applyFont="1" applyBorder="1" applyProtection="1">
      <protection hidden="1"/>
    </xf>
    <xf numFmtId="10" fontId="3" fillId="0" borderId="7" xfId="0" applyNumberFormat="1" applyFont="1" applyBorder="1" applyProtection="1">
      <protection hidden="1"/>
    </xf>
    <xf numFmtId="10" fontId="3" fillId="0" borderId="8" xfId="0" applyNumberFormat="1" applyFont="1" applyBorder="1" applyProtection="1">
      <protection hidden="1"/>
    </xf>
    <xf numFmtId="168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10" fontId="33" fillId="0" borderId="0" xfId="0" applyNumberFormat="1" applyFont="1" applyProtection="1">
      <protection hidden="1"/>
    </xf>
    <xf numFmtId="165" fontId="21" fillId="0" borderId="0" xfId="0" applyNumberFormat="1" applyFont="1" applyProtection="1">
      <protection locked="0" hidden="1"/>
    </xf>
    <xf numFmtId="0" fontId="17" fillId="0" borderId="0" xfId="0" applyFont="1" applyAlignment="1" applyProtection="1">
      <alignment horizontal="center"/>
      <protection hidden="1"/>
    </xf>
    <xf numFmtId="0" fontId="20" fillId="0" borderId="5" xfId="0" applyFont="1" applyBorder="1" applyProtection="1">
      <protection hidden="1"/>
    </xf>
    <xf numFmtId="10" fontId="0" fillId="4" borderId="21" xfId="1" quotePrefix="1" applyNumberFormat="1" applyFont="1" applyFill="1" applyBorder="1" applyAlignment="1">
      <alignment horizontal="center"/>
    </xf>
    <xf numFmtId="10" fontId="0" fillId="4" borderId="26" xfId="1" quotePrefix="1" applyNumberFormat="1" applyFont="1" applyFill="1" applyBorder="1" applyAlignment="1">
      <alignment horizontal="center"/>
    </xf>
    <xf numFmtId="8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10" borderId="23" xfId="0" quotePrefix="1" applyFill="1" applyBorder="1" applyAlignment="1">
      <alignment horizontal="center"/>
    </xf>
    <xf numFmtId="0" fontId="0" fillId="10" borderId="0" xfId="0" quotePrefix="1" applyFill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13" borderId="0" xfId="0" applyFill="1" applyAlignment="1">
      <alignment horizontal="center"/>
    </xf>
  </cellXfs>
  <cellStyles count="6">
    <cellStyle name="Gevolgde hyperlink" xfId="3" builtinId="9" hidden="1"/>
    <cellStyle name="Gevolgde hyperlink" xfId="4" builtinId="9" hidden="1"/>
    <cellStyle name="Gevolgde hyperlink" xfId="5" builtinId="9" hidden="1"/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631F.007D54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631F.007D54D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631F.007D54D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631F.007D54D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123825</xdr:rowOff>
    </xdr:from>
    <xdr:to>
      <xdr:col>1</xdr:col>
      <xdr:colOff>2679368</xdr:colOff>
      <xdr:row>5</xdr:row>
      <xdr:rowOff>66675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A796DCBB-9CCC-4724-A2C7-0E86AF7BB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23825"/>
          <a:ext cx="2231693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123825</xdr:rowOff>
    </xdr:from>
    <xdr:to>
      <xdr:col>1</xdr:col>
      <xdr:colOff>2679368</xdr:colOff>
      <xdr:row>5</xdr:row>
      <xdr:rowOff>66675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AC23E83-BE42-41BF-BA1B-F4BCA6848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123825"/>
          <a:ext cx="2231693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123825</xdr:rowOff>
    </xdr:from>
    <xdr:to>
      <xdr:col>1</xdr:col>
      <xdr:colOff>2679368</xdr:colOff>
      <xdr:row>5</xdr:row>
      <xdr:rowOff>66675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0EB2FCC-228D-4582-9F64-3E4FE3DFF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23825"/>
          <a:ext cx="2231693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123825</xdr:rowOff>
    </xdr:from>
    <xdr:to>
      <xdr:col>1</xdr:col>
      <xdr:colOff>2679368</xdr:colOff>
      <xdr:row>5</xdr:row>
      <xdr:rowOff>66675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CD16512-43B7-4E96-AE07-04D161A06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23825"/>
          <a:ext cx="2231693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14</xdr:col>
      <xdr:colOff>257175</xdr:colOff>
      <xdr:row>45</xdr:row>
      <xdr:rowOff>19050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CDCE981-49C3-423E-85DD-3D7E9F1DC7D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077075"/>
          <a:ext cx="8239125" cy="1543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14</xdr:col>
      <xdr:colOff>153847</xdr:colOff>
      <xdr:row>71</xdr:row>
      <xdr:rowOff>133012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514403B-2495-45EF-AC46-DE64DFD7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8791575"/>
          <a:ext cx="7907197" cy="4895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vocaat-bemiddelaar.gen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dvocaat-bemiddelaar.gent/" TargetMode="External"/><Relationship Id="rId1" Type="http://schemas.openxmlformats.org/officeDocument/2006/relationships/hyperlink" Target="https://www.mi-is.be/nl/tools-ocmw/bedragen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dvocaat-bemiddelaar.gen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dvocaat-bemiddelaar.gen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FF0000"/>
    <pageSetUpPr fitToPage="1"/>
  </sheetPr>
  <dimension ref="B7:N45"/>
  <sheetViews>
    <sheetView showGridLines="0" tabSelected="1" workbookViewId="0">
      <selection activeCell="C45" sqref="C45"/>
    </sheetView>
  </sheetViews>
  <sheetFormatPr defaultColWidth="11.42578125" defaultRowHeight="15" x14ac:dyDescent="0.25"/>
  <cols>
    <col min="1" max="1" width="11.42578125" style="73"/>
    <col min="2" max="2" width="56.85546875" style="73" bestFit="1" customWidth="1"/>
    <col min="3" max="3" width="10.85546875" style="72"/>
    <col min="4" max="4" width="11.42578125" style="73"/>
    <col min="5" max="5" width="28.42578125" style="74" customWidth="1"/>
    <col min="6" max="7" width="10.85546875" style="74"/>
    <col min="8" max="8" width="2" style="74" customWidth="1"/>
    <col min="9" max="10" width="10.85546875" style="74"/>
    <col min="11" max="11" width="2" style="74" customWidth="1"/>
    <col min="12" max="13" width="10.85546875" style="74"/>
    <col min="14" max="14" width="10.85546875" style="73"/>
    <col min="15" max="16384" width="11.42578125" style="73"/>
  </cols>
  <sheetData>
    <row r="7" spans="2:14" x14ac:dyDescent="0.25">
      <c r="B7" s="71" t="s">
        <v>164</v>
      </c>
    </row>
    <row r="8" spans="2:14" ht="15.75" thickBot="1" x14ac:dyDescent="0.3"/>
    <row r="9" spans="2:14" ht="15.75" thickBot="1" x14ac:dyDescent="0.3">
      <c r="B9" s="75" t="s">
        <v>110</v>
      </c>
      <c r="C9" s="76"/>
      <c r="E9" s="77" t="s">
        <v>6</v>
      </c>
      <c r="F9" s="78"/>
      <c r="G9" s="79"/>
      <c r="H9" s="79"/>
      <c r="I9" s="79"/>
      <c r="J9" s="79"/>
      <c r="K9" s="79"/>
      <c r="L9" s="79"/>
      <c r="M9" s="80"/>
      <c r="N9" s="81" t="s">
        <v>201</v>
      </c>
    </row>
    <row r="10" spans="2:14" x14ac:dyDescent="0.25">
      <c r="B10" s="82" t="s">
        <v>2</v>
      </c>
      <c r="C10" s="83">
        <v>4</v>
      </c>
      <c r="E10" s="84" t="s">
        <v>120</v>
      </c>
      <c r="F10" s="247">
        <v>1288.46</v>
      </c>
      <c r="H10" s="85" t="s">
        <v>200</v>
      </c>
      <c r="I10" s="86"/>
      <c r="M10" s="87"/>
    </row>
    <row r="11" spans="2:14" x14ac:dyDescent="0.25">
      <c r="B11" s="73" t="s">
        <v>111</v>
      </c>
      <c r="C11" s="88">
        <v>14</v>
      </c>
      <c r="E11" s="84" t="s">
        <v>121</v>
      </c>
      <c r="F11" s="247">
        <f>F10/2</f>
        <v>644.23</v>
      </c>
      <c r="H11" s="74" t="s">
        <v>10</v>
      </c>
      <c r="M11" s="87"/>
    </row>
    <row r="12" spans="2:14" ht="15.75" thickBot="1" x14ac:dyDescent="0.3">
      <c r="B12" s="73" t="s">
        <v>112</v>
      </c>
      <c r="C12" s="88">
        <v>12</v>
      </c>
      <c r="E12" s="104" t="s">
        <v>199</v>
      </c>
      <c r="F12" s="108"/>
      <c r="G12" s="108"/>
      <c r="H12" s="108"/>
      <c r="I12" s="108"/>
      <c r="J12" s="108"/>
      <c r="K12" s="108"/>
      <c r="L12" s="108"/>
      <c r="M12" s="249"/>
    </row>
    <row r="13" spans="2:14" x14ac:dyDescent="0.25">
      <c r="B13" s="73" t="s">
        <v>113</v>
      </c>
      <c r="C13" s="88">
        <v>10</v>
      </c>
      <c r="E13" s="84"/>
      <c r="F13" s="89" t="s">
        <v>11</v>
      </c>
      <c r="G13" s="90"/>
      <c r="I13" s="89" t="s">
        <v>12</v>
      </c>
      <c r="J13" s="90"/>
      <c r="L13" s="89" t="s">
        <v>13</v>
      </c>
      <c r="M13" s="90"/>
    </row>
    <row r="14" spans="2:14" ht="15.75" thickBot="1" x14ac:dyDescent="0.3">
      <c r="B14" s="73" t="s">
        <v>114</v>
      </c>
      <c r="C14" s="88">
        <v>8</v>
      </c>
      <c r="E14" s="84"/>
      <c r="F14" s="91" t="s">
        <v>122</v>
      </c>
      <c r="G14" s="92"/>
      <c r="H14" s="248"/>
      <c r="I14" s="91" t="s">
        <v>122</v>
      </c>
      <c r="J14" s="93"/>
      <c r="K14" s="248"/>
      <c r="L14" s="91" t="s">
        <v>123</v>
      </c>
      <c r="M14" s="93"/>
    </row>
    <row r="15" spans="2:14" ht="15.75" thickBot="1" x14ac:dyDescent="0.3">
      <c r="E15" s="84"/>
      <c r="F15" s="94" t="s">
        <v>172</v>
      </c>
      <c r="G15" s="95" t="s">
        <v>173</v>
      </c>
      <c r="H15" s="248"/>
      <c r="I15" s="94" t="s">
        <v>172</v>
      </c>
      <c r="J15" s="95" t="s">
        <v>173</v>
      </c>
      <c r="K15" s="248"/>
      <c r="L15" s="96" t="s">
        <v>16</v>
      </c>
      <c r="M15" s="97"/>
    </row>
    <row r="16" spans="2:14" ht="15.75" thickBot="1" x14ac:dyDescent="0.3">
      <c r="B16" s="101" t="s">
        <v>125</v>
      </c>
      <c r="C16" s="102">
        <f>C17+C18-C19</f>
        <v>3000</v>
      </c>
      <c r="E16" s="84" t="s">
        <v>17</v>
      </c>
      <c r="F16" s="98">
        <v>0.5</v>
      </c>
      <c r="G16" s="99">
        <v>0.5</v>
      </c>
      <c r="H16" s="100"/>
      <c r="I16" s="98">
        <v>0.5</v>
      </c>
      <c r="J16" s="99">
        <v>0.5</v>
      </c>
      <c r="L16" s="98"/>
      <c r="M16" s="99"/>
    </row>
    <row r="17" spans="2:13" x14ac:dyDescent="0.25">
      <c r="B17" s="73" t="s">
        <v>162</v>
      </c>
      <c r="C17" s="103">
        <v>3000</v>
      </c>
      <c r="E17" s="84" t="s">
        <v>18</v>
      </c>
      <c r="F17" s="98">
        <v>0.44650000000000001</v>
      </c>
      <c r="G17" s="99">
        <v>0.55349999999999999</v>
      </c>
      <c r="H17" s="100"/>
      <c r="I17" s="98">
        <v>0.5</v>
      </c>
      <c r="J17" s="99">
        <v>0.5</v>
      </c>
      <c r="L17" s="98"/>
      <c r="M17" s="99"/>
    </row>
    <row r="18" spans="2:13" x14ac:dyDescent="0.25">
      <c r="B18" s="73" t="s">
        <v>126</v>
      </c>
      <c r="C18" s="103">
        <v>0</v>
      </c>
      <c r="E18" s="84" t="s">
        <v>19</v>
      </c>
      <c r="F18" s="98">
        <v>0.39579999999999999</v>
      </c>
      <c r="G18" s="99">
        <v>0.60419999999999996</v>
      </c>
      <c r="H18" s="100"/>
      <c r="I18" s="98">
        <v>0.15</v>
      </c>
      <c r="J18" s="99">
        <v>0.85</v>
      </c>
      <c r="L18" s="98"/>
      <c r="M18" s="99"/>
    </row>
    <row r="19" spans="2:13" x14ac:dyDescent="0.25">
      <c r="B19" s="73" t="s">
        <v>127</v>
      </c>
      <c r="C19" s="103">
        <v>0</v>
      </c>
      <c r="E19" s="84" t="s">
        <v>20</v>
      </c>
      <c r="F19" s="98">
        <v>0.34520000000000001</v>
      </c>
      <c r="G19" s="99">
        <v>0.65480000000000005</v>
      </c>
      <c r="H19" s="100"/>
      <c r="I19" s="98">
        <v>0.15</v>
      </c>
      <c r="J19" s="99">
        <v>0.85</v>
      </c>
      <c r="L19" s="98"/>
      <c r="M19" s="99"/>
    </row>
    <row r="20" spans="2:13" ht="15.75" thickBot="1" x14ac:dyDescent="0.3">
      <c r="B20" s="81"/>
      <c r="E20" s="84" t="s">
        <v>22</v>
      </c>
      <c r="F20" s="98">
        <v>0.29449999999999998</v>
      </c>
      <c r="G20" s="99">
        <v>0.70550000000000002</v>
      </c>
      <c r="H20" s="100"/>
      <c r="I20" s="98">
        <v>0.05</v>
      </c>
      <c r="J20" s="99">
        <v>0.95</v>
      </c>
      <c r="L20" s="98"/>
      <c r="M20" s="99"/>
    </row>
    <row r="21" spans="2:13" ht="15.75" thickBot="1" x14ac:dyDescent="0.3">
      <c r="B21" s="101" t="s">
        <v>128</v>
      </c>
      <c r="C21" s="102">
        <f>C22+C23-C24</f>
        <v>2000</v>
      </c>
      <c r="E21" s="104" t="s">
        <v>24</v>
      </c>
      <c r="F21" s="105">
        <v>0.24379999999999999</v>
      </c>
      <c r="G21" s="106">
        <v>0.75619999999999998</v>
      </c>
      <c r="H21" s="107"/>
      <c r="I21" s="105">
        <v>0.05</v>
      </c>
      <c r="J21" s="106">
        <v>0.95</v>
      </c>
      <c r="K21" s="108"/>
      <c r="L21" s="105"/>
      <c r="M21" s="106"/>
    </row>
    <row r="22" spans="2:13" ht="15.75" thickBot="1" x14ac:dyDescent="0.3">
      <c r="B22" s="73" t="s">
        <v>162</v>
      </c>
      <c r="C22" s="103">
        <v>2000</v>
      </c>
      <c r="F22" s="100"/>
      <c r="G22" s="100"/>
      <c r="H22" s="100"/>
      <c r="I22" s="100"/>
      <c r="J22" s="100"/>
      <c r="L22" s="100"/>
      <c r="M22" s="100"/>
    </row>
    <row r="23" spans="2:13" x14ac:dyDescent="0.25">
      <c r="B23" s="73" t="s">
        <v>126</v>
      </c>
      <c r="C23" s="103">
        <v>0</v>
      </c>
      <c r="E23" s="109" t="s">
        <v>198</v>
      </c>
      <c r="F23" s="110">
        <v>350</v>
      </c>
      <c r="G23" s="111"/>
      <c r="H23" s="111"/>
      <c r="I23" s="111"/>
      <c r="J23" s="111"/>
      <c r="K23" s="112"/>
      <c r="L23" s="111"/>
      <c r="M23" s="113"/>
    </row>
    <row r="24" spans="2:13" x14ac:dyDescent="0.25">
      <c r="B24" s="73" t="s">
        <v>127</v>
      </c>
      <c r="C24" s="103">
        <v>0</v>
      </c>
      <c r="E24" s="114" t="s">
        <v>29</v>
      </c>
      <c r="F24" s="115">
        <v>100</v>
      </c>
      <c r="G24" s="100"/>
      <c r="H24" s="100"/>
      <c r="I24" s="100"/>
      <c r="J24" s="100"/>
      <c r="L24" s="100"/>
      <c r="M24" s="99"/>
    </row>
    <row r="25" spans="2:13" ht="15.75" thickBot="1" x14ac:dyDescent="0.3">
      <c r="E25" s="116" t="s">
        <v>31</v>
      </c>
      <c r="F25" s="117">
        <v>100</v>
      </c>
      <c r="G25" s="107"/>
      <c r="H25" s="107"/>
      <c r="I25" s="107"/>
      <c r="J25" s="107"/>
      <c r="K25" s="108"/>
      <c r="L25" s="107"/>
      <c r="M25" s="106"/>
    </row>
    <row r="26" spans="2:13" ht="15.75" thickBot="1" x14ac:dyDescent="0.3">
      <c r="B26" s="101" t="s">
        <v>115</v>
      </c>
      <c r="C26" s="118"/>
    </row>
    <row r="27" spans="2:13" x14ac:dyDescent="0.25">
      <c r="B27" s="73" t="s">
        <v>165</v>
      </c>
      <c r="C27" s="119">
        <v>0.24379999999999999</v>
      </c>
    </row>
    <row r="28" spans="2:13" x14ac:dyDescent="0.25">
      <c r="B28" s="73" t="s">
        <v>166</v>
      </c>
      <c r="C28" s="119">
        <v>0.05</v>
      </c>
    </row>
    <row r="29" spans="2:13" x14ac:dyDescent="0.25">
      <c r="B29" s="73" t="s">
        <v>167</v>
      </c>
      <c r="C29" s="120">
        <f>100%-C27</f>
        <v>0.75619999999999998</v>
      </c>
    </row>
    <row r="30" spans="2:13" x14ac:dyDescent="0.25">
      <c r="B30" s="73" t="s">
        <v>168</v>
      </c>
      <c r="C30" s="120">
        <f>100%-C28</f>
        <v>0.95</v>
      </c>
    </row>
    <row r="31" spans="2:13" ht="15.75" thickBot="1" x14ac:dyDescent="0.3"/>
    <row r="32" spans="2:13" ht="15.75" thickBot="1" x14ac:dyDescent="0.3">
      <c r="B32" s="101" t="s">
        <v>154</v>
      </c>
      <c r="C32" s="102">
        <f>SUM(C34:C45)</f>
        <v>400</v>
      </c>
      <c r="E32" s="74" t="s">
        <v>155</v>
      </c>
    </row>
    <row r="33" spans="2:13" x14ac:dyDescent="0.25">
      <c r="B33" s="121" t="s">
        <v>133</v>
      </c>
      <c r="E33" s="74" t="s">
        <v>163</v>
      </c>
    </row>
    <row r="34" spans="2:13" x14ac:dyDescent="0.25">
      <c r="B34" s="73" t="s">
        <v>116</v>
      </c>
      <c r="C34" s="103">
        <v>0</v>
      </c>
    </row>
    <row r="35" spans="2:13" x14ac:dyDescent="0.25">
      <c r="B35" s="73" t="s">
        <v>117</v>
      </c>
      <c r="C35" s="103">
        <v>0</v>
      </c>
    </row>
    <row r="36" spans="2:13" x14ac:dyDescent="0.25">
      <c r="B36" s="73" t="s">
        <v>118</v>
      </c>
      <c r="C36" s="103">
        <v>0</v>
      </c>
    </row>
    <row r="37" spans="2:13" x14ac:dyDescent="0.25">
      <c r="B37" s="73" t="s">
        <v>119</v>
      </c>
      <c r="C37" s="103">
        <v>0</v>
      </c>
    </row>
    <row r="39" spans="2:13" x14ac:dyDescent="0.25">
      <c r="B39" s="121" t="s">
        <v>134</v>
      </c>
      <c r="C39" s="243"/>
      <c r="D39" s="244"/>
    </row>
    <row r="40" spans="2:13" x14ac:dyDescent="0.25">
      <c r="B40" s="73" t="s">
        <v>116</v>
      </c>
      <c r="C40" s="103">
        <v>100</v>
      </c>
      <c r="D40" s="245"/>
      <c r="E40" s="74" t="s">
        <v>194</v>
      </c>
    </row>
    <row r="41" spans="2:13" x14ac:dyDescent="0.25">
      <c r="B41" s="73" t="s">
        <v>117</v>
      </c>
      <c r="C41" s="103">
        <v>100</v>
      </c>
      <c r="E41" s="74" t="s">
        <v>195</v>
      </c>
    </row>
    <row r="42" spans="2:13" x14ac:dyDescent="0.25">
      <c r="B42" s="73" t="s">
        <v>118</v>
      </c>
      <c r="C42" s="103">
        <v>100</v>
      </c>
      <c r="E42" s="74" t="s">
        <v>196</v>
      </c>
      <c r="I42" s="122"/>
      <c r="J42" s="122"/>
      <c r="K42" s="123"/>
      <c r="L42" s="123"/>
      <c r="M42" s="123"/>
    </row>
    <row r="43" spans="2:13" x14ac:dyDescent="0.25">
      <c r="B43" s="73" t="s">
        <v>119</v>
      </c>
      <c r="C43" s="103">
        <v>100</v>
      </c>
      <c r="E43" s="74" t="s">
        <v>197</v>
      </c>
      <c r="I43" s="124"/>
      <c r="J43" s="122"/>
      <c r="K43" s="125"/>
      <c r="L43" s="123"/>
      <c r="M43" s="123"/>
    </row>
    <row r="44" spans="2:13" x14ac:dyDescent="0.25">
      <c r="I44" s="122"/>
      <c r="J44" s="122"/>
      <c r="K44" s="123"/>
      <c r="L44" s="123"/>
      <c r="M44" s="123"/>
    </row>
    <row r="45" spans="2:13" x14ac:dyDescent="0.25">
      <c r="B45" s="121" t="s">
        <v>124</v>
      </c>
      <c r="C45" s="103">
        <v>0</v>
      </c>
      <c r="I45" s="122"/>
      <c r="J45" s="122"/>
      <c r="K45" s="123"/>
      <c r="L45" s="123"/>
      <c r="M45" s="126"/>
    </row>
  </sheetData>
  <sheetProtection algorithmName="SHA-512" hashValue="M/LLwNlGROMM3K/HW8anoswHcCmdtuJNIFiTv4LmmE5ipdU3lUrLTtqsjss4oBe8RJfMlQB4qjXyUNd4cmLA0w==" saltValue="F1F6nqEqKpcoe89YaUHosQ==" spinCount="100000" sheet="1" objects="1" scenarios="1" selectLockedCells="1"/>
  <hyperlinks>
    <hyperlink ref="B7" r:id="rId1" display="http://www.advocaat-bemiddelaar.gent/" xr:uid="{F523BE43-E0FE-42C1-A347-3839F05A22F3}"/>
  </hyperlinks>
  <pageMargins left="0.7" right="0.7" top="0.75" bottom="0.75" header="0.3" footer="0.3"/>
  <pageSetup paperSize="9" scale="67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FFC000"/>
    <pageSetUpPr fitToPage="1"/>
  </sheetPr>
  <dimension ref="B1:P68"/>
  <sheetViews>
    <sheetView showGridLines="0" topLeftCell="A36" workbookViewId="0">
      <selection activeCell="C34" sqref="C34"/>
    </sheetView>
  </sheetViews>
  <sheetFormatPr defaultColWidth="8.85546875" defaultRowHeight="15" x14ac:dyDescent="0.25"/>
  <cols>
    <col min="1" max="1" width="8.85546875" style="73"/>
    <col min="2" max="2" width="64.42578125" style="73" customWidth="1"/>
    <col min="3" max="3" width="12.85546875" style="73" customWidth="1"/>
    <col min="4" max="4" width="9.42578125" style="73" customWidth="1"/>
    <col min="5" max="5" width="10.85546875" style="73" customWidth="1"/>
    <col min="6" max="6" width="9.42578125" style="73" customWidth="1"/>
    <col min="7" max="7" width="8.85546875" style="73"/>
    <col min="8" max="8" width="35.7109375" style="73" customWidth="1"/>
    <col min="9" max="9" width="9.42578125" style="73" customWidth="1"/>
    <col min="10" max="10" width="10.85546875" style="73" customWidth="1"/>
    <col min="11" max="11" width="2.42578125" style="73" customWidth="1"/>
    <col min="12" max="12" width="10.7109375" style="73" customWidth="1"/>
    <col min="13" max="13" width="12.7109375" style="73" customWidth="1"/>
    <col min="14" max="14" width="2.42578125" style="73" customWidth="1"/>
    <col min="15" max="15" width="8.85546875" style="73"/>
    <col min="16" max="16" width="12.7109375" style="73" bestFit="1" customWidth="1"/>
    <col min="17" max="16384" width="8.85546875" style="73"/>
  </cols>
  <sheetData>
    <row r="1" spans="2:16" x14ac:dyDescent="0.25">
      <c r="C1" s="72"/>
      <c r="E1" s="74"/>
      <c r="F1" s="74"/>
      <c r="G1" s="74"/>
      <c r="H1" s="74"/>
      <c r="I1" s="74"/>
      <c r="J1" s="74"/>
      <c r="K1" s="74"/>
      <c r="L1" s="74"/>
      <c r="M1" s="74"/>
    </row>
    <row r="2" spans="2:16" x14ac:dyDescent="0.25">
      <c r="C2" s="72"/>
      <c r="E2" s="74"/>
      <c r="F2" s="74"/>
      <c r="G2" s="74"/>
      <c r="H2" s="74"/>
      <c r="I2" s="74"/>
      <c r="J2" s="74"/>
      <c r="K2" s="74"/>
      <c r="L2" s="74"/>
      <c r="M2" s="74"/>
    </row>
    <row r="3" spans="2:16" x14ac:dyDescent="0.25">
      <c r="C3" s="72"/>
      <c r="E3" s="74"/>
      <c r="F3" s="74"/>
      <c r="G3" s="74"/>
      <c r="H3" s="74"/>
      <c r="I3" s="74"/>
      <c r="J3" s="74"/>
      <c r="K3" s="74"/>
      <c r="L3" s="74"/>
      <c r="M3" s="74"/>
    </row>
    <row r="4" spans="2:16" x14ac:dyDescent="0.25">
      <c r="C4" s="72"/>
      <c r="E4" s="74"/>
      <c r="F4" s="74"/>
      <c r="G4" s="74"/>
      <c r="H4" s="74"/>
      <c r="I4" s="74"/>
      <c r="J4" s="74"/>
      <c r="K4" s="74"/>
      <c r="L4" s="74"/>
      <c r="M4" s="74"/>
    </row>
    <row r="5" spans="2:16" x14ac:dyDescent="0.25">
      <c r="C5" s="72"/>
      <c r="E5" s="74"/>
      <c r="F5" s="74"/>
      <c r="G5" s="74"/>
      <c r="H5" s="74"/>
      <c r="I5" s="74"/>
      <c r="J5" s="74"/>
      <c r="K5" s="74"/>
      <c r="L5" s="74"/>
      <c r="M5" s="74"/>
    </row>
    <row r="6" spans="2:16" x14ac:dyDescent="0.25">
      <c r="C6" s="72"/>
      <c r="E6" s="74"/>
      <c r="F6" s="74"/>
      <c r="G6" s="74"/>
      <c r="H6" s="74"/>
      <c r="I6" s="74"/>
      <c r="J6" s="74"/>
      <c r="K6" s="74"/>
      <c r="L6" s="74"/>
      <c r="M6" s="74"/>
    </row>
    <row r="7" spans="2:16" x14ac:dyDescent="0.25">
      <c r="B7" s="71" t="s">
        <v>164</v>
      </c>
      <c r="C7" s="72"/>
      <c r="E7" s="74"/>
      <c r="F7" s="74"/>
      <c r="G7" s="74"/>
      <c r="H7" s="74"/>
      <c r="I7" s="74"/>
      <c r="J7" s="74"/>
      <c r="K7" s="74"/>
      <c r="L7" s="74"/>
      <c r="M7" s="74"/>
    </row>
    <row r="8" spans="2:16" ht="15.75" thickBot="1" x14ac:dyDescent="0.3">
      <c r="B8" s="127"/>
      <c r="C8" s="72"/>
      <c r="E8" s="74"/>
      <c r="F8" s="74"/>
      <c r="G8" s="74"/>
      <c r="H8" s="74"/>
      <c r="I8" s="74"/>
      <c r="J8" s="74"/>
      <c r="K8" s="74"/>
      <c r="L8" s="74"/>
      <c r="M8" s="74"/>
    </row>
    <row r="9" spans="2:16" ht="15.75" thickBot="1" x14ac:dyDescent="0.3">
      <c r="B9" s="101" t="s">
        <v>105</v>
      </c>
      <c r="C9" s="128"/>
      <c r="D9" s="128"/>
      <c r="E9" s="128"/>
      <c r="F9" s="129"/>
      <c r="G9" s="81"/>
      <c r="H9" s="81"/>
      <c r="P9" s="81" t="str">
        <f>'Input parameters'!N9</f>
        <v>update leefloon 05.2024</v>
      </c>
    </row>
    <row r="10" spans="2:16" ht="15.75" thickBot="1" x14ac:dyDescent="0.3"/>
    <row r="11" spans="2:16" ht="15.75" thickBot="1" x14ac:dyDescent="0.3">
      <c r="B11" s="101" t="s">
        <v>0</v>
      </c>
      <c r="C11" s="128"/>
      <c r="D11" s="128"/>
      <c r="E11" s="128"/>
      <c r="F11" s="129"/>
      <c r="H11" s="101" t="s">
        <v>1</v>
      </c>
      <c r="I11" s="130"/>
      <c r="J11" s="128"/>
      <c r="K11" s="128"/>
      <c r="L11" s="128"/>
      <c r="M11" s="128"/>
      <c r="N11" s="128"/>
      <c r="O11" s="128"/>
      <c r="P11" s="128"/>
    </row>
    <row r="12" spans="2:16" x14ac:dyDescent="0.25">
      <c r="B12" s="131" t="s">
        <v>2</v>
      </c>
      <c r="C12" s="132">
        <f>'Input parameters'!C10</f>
        <v>4</v>
      </c>
      <c r="F12" s="133"/>
      <c r="H12" s="134" t="s">
        <v>3</v>
      </c>
      <c r="I12" s="135" t="s">
        <v>4</v>
      </c>
      <c r="P12" s="133"/>
    </row>
    <row r="13" spans="2:16" x14ac:dyDescent="0.25">
      <c r="B13" s="131" t="s">
        <v>174</v>
      </c>
      <c r="C13" s="136">
        <f>'Input parameters'!C17</f>
        <v>3000</v>
      </c>
      <c r="F13" s="133"/>
      <c r="H13" s="137">
        <v>1</v>
      </c>
      <c r="I13" s="138">
        <f>'Input parameters'!C11</f>
        <v>14</v>
      </c>
      <c r="M13" s="139"/>
      <c r="N13" s="140"/>
      <c r="P13" s="133"/>
    </row>
    <row r="14" spans="2:16" x14ac:dyDescent="0.25">
      <c r="B14" s="131" t="s">
        <v>5</v>
      </c>
      <c r="C14" s="136">
        <f>'Input parameters'!C18</f>
        <v>0</v>
      </c>
      <c r="F14" s="133"/>
      <c r="H14" s="137">
        <v>2</v>
      </c>
      <c r="I14" s="138">
        <f>'Input parameters'!C12</f>
        <v>12</v>
      </c>
      <c r="M14" s="139"/>
      <c r="N14" s="140"/>
      <c r="P14" s="133"/>
    </row>
    <row r="15" spans="2:16" x14ac:dyDescent="0.25">
      <c r="B15" s="131" t="s">
        <v>175</v>
      </c>
      <c r="C15" s="136">
        <f>'Input parameters'!C19</f>
        <v>0</v>
      </c>
      <c r="F15" s="133"/>
      <c r="H15" s="137">
        <v>3</v>
      </c>
      <c r="I15" s="138">
        <f>'Input parameters'!C13</f>
        <v>10</v>
      </c>
      <c r="M15" s="139"/>
      <c r="N15" s="140"/>
      <c r="P15" s="133"/>
    </row>
    <row r="16" spans="2:16" x14ac:dyDescent="0.25">
      <c r="B16" s="141" t="s">
        <v>176</v>
      </c>
      <c r="C16" s="142">
        <f>C13+C14-C15</f>
        <v>3000</v>
      </c>
      <c r="F16" s="133"/>
      <c r="H16" s="137">
        <v>4</v>
      </c>
      <c r="I16" s="138">
        <f>'Input parameters'!C14</f>
        <v>8</v>
      </c>
      <c r="M16" s="139"/>
      <c r="N16" s="140"/>
      <c r="P16" s="133"/>
    </row>
    <row r="17" spans="2:16" x14ac:dyDescent="0.25">
      <c r="B17" s="131" t="s">
        <v>177</v>
      </c>
      <c r="C17" s="136">
        <f>'Input parameters'!C22</f>
        <v>2000</v>
      </c>
      <c r="F17" s="133"/>
      <c r="H17" s="137"/>
      <c r="I17" s="143"/>
      <c r="P17" s="133"/>
    </row>
    <row r="18" spans="2:16" ht="14.1" customHeight="1" x14ac:dyDescent="0.25">
      <c r="B18" s="131" t="s">
        <v>5</v>
      </c>
      <c r="C18" s="144">
        <f>'Input parameters'!C23</f>
        <v>0</v>
      </c>
      <c r="F18" s="133"/>
      <c r="H18" s="131"/>
      <c r="I18" s="145"/>
      <c r="P18" s="133"/>
    </row>
    <row r="19" spans="2:16" x14ac:dyDescent="0.25">
      <c r="B19" s="131" t="s">
        <v>178</v>
      </c>
      <c r="C19" s="136">
        <f>'Input parameters'!C24</f>
        <v>0</v>
      </c>
      <c r="F19" s="133"/>
      <c r="H19" s="131"/>
      <c r="I19" s="145"/>
      <c r="P19" s="133"/>
    </row>
    <row r="20" spans="2:16" x14ac:dyDescent="0.25">
      <c r="B20" s="141" t="s">
        <v>179</v>
      </c>
      <c r="C20" s="142">
        <f>C17+C18-C19</f>
        <v>2000</v>
      </c>
      <c r="F20" s="133"/>
      <c r="H20" s="131"/>
      <c r="I20" s="146"/>
      <c r="P20" s="133"/>
    </row>
    <row r="21" spans="2:16" ht="15.75" thickBot="1" x14ac:dyDescent="0.3">
      <c r="B21" s="131" t="s">
        <v>180</v>
      </c>
      <c r="C21" s="120">
        <f>(C13+C14)/(C13+C14+C17+C18)</f>
        <v>0.6</v>
      </c>
      <c r="F21" s="133"/>
      <c r="H21" s="147"/>
      <c r="I21" s="148"/>
      <c r="J21" s="149"/>
      <c r="K21" s="149"/>
      <c r="L21" s="149"/>
      <c r="M21" s="149"/>
      <c r="N21" s="149"/>
      <c r="O21" s="149"/>
      <c r="P21" s="150"/>
    </row>
    <row r="22" spans="2:16" ht="15.75" thickBot="1" x14ac:dyDescent="0.3">
      <c r="B22" s="141" t="s">
        <v>181</v>
      </c>
      <c r="C22" s="151">
        <f>C16/(C16+C20)</f>
        <v>0.6</v>
      </c>
      <c r="F22" s="133"/>
      <c r="H22" s="152" t="s">
        <v>6</v>
      </c>
      <c r="I22" s="153"/>
      <c r="J22" s="154"/>
      <c r="K22" s="154"/>
      <c r="L22" s="154"/>
      <c r="M22" s="154"/>
      <c r="N22" s="154"/>
      <c r="O22" s="154"/>
      <c r="P22" s="155"/>
    </row>
    <row r="23" spans="2:16" x14ac:dyDescent="0.25">
      <c r="B23" s="131" t="s">
        <v>182</v>
      </c>
      <c r="C23" s="120">
        <f>100%-C21</f>
        <v>0.4</v>
      </c>
      <c r="F23" s="133"/>
      <c r="H23" s="131" t="s">
        <v>7</v>
      </c>
      <c r="I23" s="156">
        <f>'Input parameters'!F10</f>
        <v>1288.46</v>
      </c>
      <c r="L23" s="157" t="s">
        <v>8</v>
      </c>
      <c r="P23" s="133"/>
    </row>
    <row r="24" spans="2:16" ht="15.75" thickBot="1" x14ac:dyDescent="0.3">
      <c r="B24" s="141" t="s">
        <v>183</v>
      </c>
      <c r="C24" s="151">
        <f>100%-C22</f>
        <v>0.4</v>
      </c>
      <c r="F24" s="133"/>
      <c r="H24" s="131" t="s">
        <v>9</v>
      </c>
      <c r="I24" s="156">
        <f>'Input parameters'!F11</f>
        <v>644.23</v>
      </c>
      <c r="K24" s="73" t="s">
        <v>10</v>
      </c>
      <c r="P24" s="133"/>
    </row>
    <row r="25" spans="2:16" x14ac:dyDescent="0.25">
      <c r="B25" s="131" t="s">
        <v>184</v>
      </c>
      <c r="C25" s="120">
        <f>'Input parameters'!C27</f>
        <v>0.24379999999999999</v>
      </c>
      <c r="F25" s="133"/>
      <c r="H25" s="131"/>
      <c r="I25" s="158" t="s">
        <v>11</v>
      </c>
      <c r="J25" s="159"/>
      <c r="L25" s="158" t="s">
        <v>12</v>
      </c>
      <c r="M25" s="159"/>
      <c r="O25" s="158" t="s">
        <v>13</v>
      </c>
      <c r="P25" s="159"/>
    </row>
    <row r="26" spans="2:16" ht="15.75" thickBot="1" x14ac:dyDescent="0.3">
      <c r="B26" s="131" t="s">
        <v>185</v>
      </c>
      <c r="C26" s="120">
        <f>'Input parameters'!C28</f>
        <v>0.05</v>
      </c>
      <c r="F26" s="133"/>
      <c r="H26" s="131"/>
      <c r="I26" s="160"/>
      <c r="J26" s="161"/>
      <c r="K26" s="145"/>
      <c r="L26" s="162"/>
      <c r="M26" s="163"/>
      <c r="N26" s="145"/>
      <c r="O26" s="162"/>
      <c r="P26" s="163"/>
    </row>
    <row r="27" spans="2:16" x14ac:dyDescent="0.25">
      <c r="B27" s="141" t="s">
        <v>186</v>
      </c>
      <c r="C27" s="164">
        <f>(C25+C26)/2</f>
        <v>0.1469</v>
      </c>
      <c r="F27" s="133"/>
      <c r="H27" s="131"/>
      <c r="I27" s="165" t="s">
        <v>172</v>
      </c>
      <c r="J27" s="166" t="s">
        <v>173</v>
      </c>
      <c r="K27" s="145"/>
      <c r="L27" s="165" t="s">
        <v>172</v>
      </c>
      <c r="M27" s="166" t="s">
        <v>173</v>
      </c>
      <c r="N27" s="145"/>
      <c r="O27" s="167" t="s">
        <v>16</v>
      </c>
      <c r="P27" s="168"/>
    </row>
    <row r="28" spans="2:16" x14ac:dyDescent="0.25">
      <c r="B28" s="131" t="s">
        <v>187</v>
      </c>
      <c r="C28" s="120">
        <f>'Input parameters'!C29</f>
        <v>0.75619999999999998</v>
      </c>
      <c r="F28" s="133"/>
      <c r="H28" s="131" t="s">
        <v>17</v>
      </c>
      <c r="I28" s="169">
        <v>0.5</v>
      </c>
      <c r="J28" s="170">
        <v>0.5</v>
      </c>
      <c r="K28" s="120"/>
      <c r="L28" s="169">
        <v>0.5</v>
      </c>
      <c r="M28" s="170">
        <v>0.5</v>
      </c>
      <c r="O28" s="169"/>
      <c r="P28" s="170"/>
    </row>
    <row r="29" spans="2:16" x14ac:dyDescent="0.25">
      <c r="B29" s="131" t="s">
        <v>188</v>
      </c>
      <c r="C29" s="120">
        <f>'Input parameters'!C30</f>
        <v>0.95</v>
      </c>
      <c r="F29" s="133"/>
      <c r="H29" s="131" t="s">
        <v>18</v>
      </c>
      <c r="I29" s="169">
        <v>0.44650000000000001</v>
      </c>
      <c r="J29" s="170">
        <v>0.55349999999999999</v>
      </c>
      <c r="K29" s="120"/>
      <c r="L29" s="169">
        <v>0.5</v>
      </c>
      <c r="M29" s="170">
        <v>0.5</v>
      </c>
      <c r="O29" s="169"/>
      <c r="P29" s="170"/>
    </row>
    <row r="30" spans="2:16" x14ac:dyDescent="0.25">
      <c r="B30" s="141" t="s">
        <v>189</v>
      </c>
      <c r="C30" s="164">
        <f>SUM(C28:C29)/2</f>
        <v>0.85309999999999997</v>
      </c>
      <c r="F30" s="133"/>
      <c r="H30" s="131" t="s">
        <v>19</v>
      </c>
      <c r="I30" s="169">
        <v>0.39579999999999999</v>
      </c>
      <c r="J30" s="170">
        <v>0.60419999999999996</v>
      </c>
      <c r="K30" s="120"/>
      <c r="L30" s="169">
        <v>0.15</v>
      </c>
      <c r="M30" s="170">
        <v>0.85</v>
      </c>
      <c r="O30" s="169"/>
      <c r="P30" s="170"/>
    </row>
    <row r="31" spans="2:16" x14ac:dyDescent="0.25">
      <c r="B31" s="131" t="s">
        <v>169</v>
      </c>
      <c r="C31" s="136">
        <f>'Input parameters'!C32+'Input parameters'!C18+'Input parameters'!C23</f>
        <v>400</v>
      </c>
      <c r="D31" s="171"/>
      <c r="E31" s="171"/>
      <c r="F31" s="172"/>
      <c r="H31" s="131" t="s">
        <v>20</v>
      </c>
      <c r="I31" s="169">
        <v>0.34520000000000001</v>
      </c>
      <c r="J31" s="170">
        <v>0.65480000000000005</v>
      </c>
      <c r="K31" s="120"/>
      <c r="L31" s="169">
        <v>0.15</v>
      </c>
      <c r="M31" s="170">
        <v>0.85</v>
      </c>
      <c r="O31" s="169"/>
      <c r="P31" s="170"/>
    </row>
    <row r="32" spans="2:16" x14ac:dyDescent="0.25">
      <c r="B32" s="131" t="s">
        <v>21</v>
      </c>
      <c r="C32" s="140">
        <f>'Input parameters'!C32</f>
        <v>400</v>
      </c>
      <c r="F32" s="133"/>
      <c r="H32" s="131" t="s">
        <v>22</v>
      </c>
      <c r="I32" s="169">
        <v>0.29449999999999998</v>
      </c>
      <c r="J32" s="170">
        <v>0.70550000000000002</v>
      </c>
      <c r="K32" s="120"/>
      <c r="L32" s="169">
        <v>0.05</v>
      </c>
      <c r="M32" s="170">
        <v>0.95</v>
      </c>
      <c r="O32" s="169"/>
      <c r="P32" s="170"/>
    </row>
    <row r="33" spans="2:16" x14ac:dyDescent="0.25">
      <c r="B33" s="131" t="s">
        <v>23</v>
      </c>
      <c r="C33" s="140">
        <f>IF(C13+C14+C17+C32+C18&lt;10000,C13+C14+C17+C32+C18,10000)</f>
        <v>5400</v>
      </c>
      <c r="F33" s="133"/>
      <c r="H33" s="131" t="s">
        <v>24</v>
      </c>
      <c r="I33" s="169">
        <v>0.24379999999999999</v>
      </c>
      <c r="J33" s="170">
        <v>0.75619999999999998</v>
      </c>
      <c r="K33" s="120"/>
      <c r="L33" s="169">
        <v>0.05</v>
      </c>
      <c r="M33" s="170">
        <v>0.95</v>
      </c>
      <c r="O33" s="169"/>
      <c r="P33" s="170"/>
    </row>
    <row r="34" spans="2:16" ht="15.75" thickBot="1" x14ac:dyDescent="0.3">
      <c r="B34" s="147" t="s">
        <v>25</v>
      </c>
      <c r="C34" s="173">
        <f>F34</f>
        <v>1932.66</v>
      </c>
      <c r="D34" s="149"/>
      <c r="E34" s="174">
        <f>Tabel!Z20</f>
        <v>0.3579</v>
      </c>
      <c r="F34" s="175">
        <f>C33*E34</f>
        <v>1932.66</v>
      </c>
      <c r="H34" s="147"/>
      <c r="I34" s="176"/>
      <c r="J34" s="177"/>
      <c r="K34" s="178"/>
      <c r="L34" s="176"/>
      <c r="M34" s="177"/>
      <c r="N34" s="149"/>
      <c r="O34" s="176"/>
      <c r="P34" s="177"/>
    </row>
    <row r="35" spans="2:16" x14ac:dyDescent="0.25">
      <c r="C35" s="171"/>
      <c r="E35" s="164"/>
      <c r="F35" s="140"/>
      <c r="I35" s="120"/>
      <c r="J35" s="120"/>
      <c r="K35" s="120"/>
      <c r="L35" s="120"/>
      <c r="M35" s="120"/>
      <c r="O35" s="120"/>
      <c r="P35" s="120"/>
    </row>
    <row r="36" spans="2:16" ht="15.75" thickBot="1" x14ac:dyDescent="0.3">
      <c r="C36" s="171"/>
      <c r="E36" s="164"/>
      <c r="F36" s="140"/>
      <c r="H36" s="139"/>
      <c r="I36" s="140"/>
      <c r="J36" s="120"/>
      <c r="K36" s="120"/>
      <c r="L36" s="120"/>
      <c r="M36" s="120"/>
      <c r="O36" s="120"/>
      <c r="P36" s="120"/>
    </row>
    <row r="37" spans="2:16" ht="15.75" thickBot="1" x14ac:dyDescent="0.3">
      <c r="B37" s="101" t="s">
        <v>152</v>
      </c>
      <c r="C37" s="128"/>
      <c r="D37" s="128"/>
      <c r="E37" s="128"/>
      <c r="F37" s="129"/>
      <c r="H37" s="139" t="s">
        <v>157</v>
      </c>
      <c r="I37" s="140"/>
      <c r="J37" s="120"/>
      <c r="K37" s="120"/>
      <c r="L37" s="120"/>
      <c r="M37" s="120"/>
      <c r="O37" s="120"/>
      <c r="P37" s="120"/>
    </row>
    <row r="38" spans="2:16" x14ac:dyDescent="0.25">
      <c r="B38" s="131" t="s">
        <v>27</v>
      </c>
      <c r="C38" s="136">
        <f>C34</f>
        <v>1932.66</v>
      </c>
      <c r="D38" s="246">
        <f>C34/C33</f>
        <v>0.3579</v>
      </c>
      <c r="E38" s="164">
        <f>E34</f>
        <v>0.3579</v>
      </c>
      <c r="F38" s="179">
        <f>F34</f>
        <v>1932.66</v>
      </c>
      <c r="H38" s="139" t="s">
        <v>159</v>
      </c>
      <c r="I38" s="140"/>
      <c r="J38" s="120"/>
      <c r="K38" s="120"/>
      <c r="L38" s="120"/>
      <c r="M38" s="120"/>
      <c r="O38" s="120"/>
      <c r="P38" s="120"/>
    </row>
    <row r="39" spans="2:16" x14ac:dyDescent="0.25">
      <c r="B39" s="131" t="s">
        <v>28</v>
      </c>
      <c r="C39" s="136"/>
      <c r="D39" s="136">
        <f>C38-SUM('Input parameters'!C34:C43)</f>
        <v>1532.66</v>
      </c>
      <c r="F39" s="133"/>
    </row>
    <row r="40" spans="2:16" x14ac:dyDescent="0.25">
      <c r="B40" s="131" t="s">
        <v>130</v>
      </c>
      <c r="C40" s="136"/>
      <c r="D40" s="136">
        <f>E40*D39</f>
        <v>919.596</v>
      </c>
      <c r="E40" s="180">
        <f>C22</f>
        <v>0.6</v>
      </c>
      <c r="F40" s="133"/>
    </row>
    <row r="41" spans="2:16" x14ac:dyDescent="0.25">
      <c r="B41" s="131" t="s">
        <v>129</v>
      </c>
      <c r="C41" s="136"/>
      <c r="D41" s="136">
        <f>D39*E41</f>
        <v>613.06400000000008</v>
      </c>
      <c r="E41" s="180">
        <f>C24</f>
        <v>0.4</v>
      </c>
      <c r="F41" s="133"/>
    </row>
    <row r="42" spans="2:16" x14ac:dyDescent="0.25">
      <c r="B42" s="131"/>
      <c r="C42" s="136"/>
      <c r="D42" s="136"/>
      <c r="F42" s="133"/>
    </row>
    <row r="43" spans="2:16" x14ac:dyDescent="0.25">
      <c r="B43" s="131" t="s">
        <v>131</v>
      </c>
      <c r="C43" s="136">
        <f>C38*E43</f>
        <v>283.90775400000001</v>
      </c>
      <c r="D43" s="136"/>
      <c r="E43" s="120">
        <f>C27</f>
        <v>0.1469</v>
      </c>
      <c r="F43" s="133"/>
    </row>
    <row r="44" spans="2:16" x14ac:dyDescent="0.25">
      <c r="B44" s="131" t="s">
        <v>132</v>
      </c>
      <c r="C44" s="181">
        <f>C43+E44</f>
        <v>283.90775400000001</v>
      </c>
      <c r="D44" s="136"/>
      <c r="E44" s="73">
        <f>-SUM('Input parameters'!C34:C37)</f>
        <v>0</v>
      </c>
      <c r="F44" s="133"/>
    </row>
    <row r="45" spans="2:16" x14ac:dyDescent="0.25">
      <c r="B45" s="131" t="s">
        <v>136</v>
      </c>
      <c r="C45" s="136">
        <f>C38*E45</f>
        <v>1648.752246</v>
      </c>
      <c r="D45" s="136"/>
      <c r="E45" s="120">
        <f>C30</f>
        <v>0.85309999999999997</v>
      </c>
      <c r="F45" s="133"/>
    </row>
    <row r="46" spans="2:16" x14ac:dyDescent="0.25">
      <c r="B46" s="131" t="s">
        <v>135</v>
      </c>
      <c r="C46" s="181">
        <f>C45+E46</f>
        <v>1248.752246</v>
      </c>
      <c r="D46" s="136"/>
      <c r="E46" s="73">
        <f>-SUM('Input parameters'!C40:C43)</f>
        <v>-400</v>
      </c>
      <c r="F46" s="182"/>
    </row>
    <row r="47" spans="2:16" x14ac:dyDescent="0.25">
      <c r="B47" s="131"/>
      <c r="D47" s="136"/>
      <c r="F47" s="133"/>
    </row>
    <row r="48" spans="2:16" ht="15.75" thickBot="1" x14ac:dyDescent="0.3">
      <c r="B48" s="183" t="s">
        <v>137</v>
      </c>
      <c r="C48" s="184">
        <f>D40-C44</f>
        <v>635.68824599999994</v>
      </c>
      <c r="D48" s="185" t="s">
        <v>138</v>
      </c>
      <c r="E48" s="184">
        <f>C48/'Input parameters'!C10</f>
        <v>158.92206149999998</v>
      </c>
      <c r="F48" s="186" t="s">
        <v>36</v>
      </c>
    </row>
    <row r="50" spans="2:8" ht="15.75" thickBot="1" x14ac:dyDescent="0.3">
      <c r="C50" s="72"/>
    </row>
    <row r="51" spans="2:8" ht="15.75" thickBot="1" x14ac:dyDescent="0.3">
      <c r="B51" s="101" t="s">
        <v>153</v>
      </c>
      <c r="C51" s="187"/>
      <c r="D51" s="187"/>
      <c r="E51" s="187"/>
      <c r="F51" s="188"/>
      <c r="H51" s="139" t="s">
        <v>158</v>
      </c>
    </row>
    <row r="52" spans="2:8" x14ac:dyDescent="0.25">
      <c r="B52" s="131" t="s">
        <v>27</v>
      </c>
      <c r="C52" s="136">
        <f>C34/2</f>
        <v>966.33</v>
      </c>
      <c r="D52" s="136"/>
      <c r="E52" s="164">
        <f>E34</f>
        <v>0.3579</v>
      </c>
      <c r="F52" s="179">
        <f>F34/2</f>
        <v>966.33</v>
      </c>
      <c r="H52" s="139" t="s">
        <v>161</v>
      </c>
    </row>
    <row r="53" spans="2:8" x14ac:dyDescent="0.25">
      <c r="B53" s="131" t="s">
        <v>28</v>
      </c>
      <c r="C53" s="136"/>
      <c r="D53" s="136">
        <f>C52-SUM('Input parameters'!C34:C43)</f>
        <v>566.33000000000004</v>
      </c>
      <c r="F53" s="133"/>
      <c r="H53" s="139" t="s">
        <v>160</v>
      </c>
    </row>
    <row r="54" spans="2:8" x14ac:dyDescent="0.25">
      <c r="B54" s="131" t="s">
        <v>130</v>
      </c>
      <c r="C54" s="136"/>
      <c r="D54" s="136">
        <f>E54*D53</f>
        <v>339.798</v>
      </c>
      <c r="E54" s="180">
        <f>E40</f>
        <v>0.6</v>
      </c>
      <c r="F54" s="133"/>
    </row>
    <row r="55" spans="2:8" x14ac:dyDescent="0.25">
      <c r="B55" s="131" t="s">
        <v>129</v>
      </c>
      <c r="C55" s="136"/>
      <c r="D55" s="136">
        <f>D53*E55</f>
        <v>226.53200000000004</v>
      </c>
      <c r="E55" s="180">
        <f>E41</f>
        <v>0.4</v>
      </c>
      <c r="F55" s="133"/>
    </row>
    <row r="56" spans="2:8" x14ac:dyDescent="0.25">
      <c r="B56" s="131"/>
      <c r="C56" s="136"/>
      <c r="D56" s="136"/>
      <c r="F56" s="133"/>
    </row>
    <row r="57" spans="2:8" x14ac:dyDescent="0.25">
      <c r="B57" s="131" t="s">
        <v>131</v>
      </c>
      <c r="C57" s="136">
        <f>C52*E57</f>
        <v>235.59125399999999</v>
      </c>
      <c r="D57" s="136"/>
      <c r="E57" s="120">
        <f>C25</f>
        <v>0.24379999999999999</v>
      </c>
      <c r="F57" s="133"/>
    </row>
    <row r="58" spans="2:8" x14ac:dyDescent="0.25">
      <c r="B58" s="131" t="s">
        <v>132</v>
      </c>
      <c r="C58" s="181">
        <f>C57+E58</f>
        <v>235.59125399999999</v>
      </c>
      <c r="D58" s="136"/>
      <c r="E58" s="73">
        <f>-SUM('Input parameters'!C34:C37)</f>
        <v>0</v>
      </c>
      <c r="F58" s="133"/>
    </row>
    <row r="59" spans="2:8" x14ac:dyDescent="0.25">
      <c r="B59" s="131" t="s">
        <v>136</v>
      </c>
      <c r="C59" s="136">
        <f>C52*E59</f>
        <v>730.73874599999999</v>
      </c>
      <c r="D59" s="136"/>
      <c r="E59" s="120">
        <f>C28</f>
        <v>0.75619999999999998</v>
      </c>
      <c r="F59" s="133"/>
    </row>
    <row r="60" spans="2:8" x14ac:dyDescent="0.25">
      <c r="B60" s="131" t="s">
        <v>135</v>
      </c>
      <c r="C60" s="181">
        <f>C59+E60</f>
        <v>330.73874599999999</v>
      </c>
      <c r="D60" s="136"/>
      <c r="E60" s="73">
        <f>-SUM('Input parameters'!C40:C43)</f>
        <v>-400</v>
      </c>
      <c r="F60" s="182"/>
    </row>
    <row r="61" spans="2:8" x14ac:dyDescent="0.25">
      <c r="B61" s="131"/>
      <c r="D61" s="136"/>
      <c r="F61" s="133"/>
    </row>
    <row r="62" spans="2:8" ht="15.75" thickBot="1" x14ac:dyDescent="0.3">
      <c r="B62" s="189" t="s">
        <v>137</v>
      </c>
      <c r="C62" s="190">
        <f>D54-C58</f>
        <v>104.20674600000001</v>
      </c>
      <c r="D62" s="191" t="s">
        <v>138</v>
      </c>
      <c r="E62" s="190">
        <f>C62/'Input parameters'!C10</f>
        <v>26.051686500000002</v>
      </c>
      <c r="F62" s="192" t="s">
        <v>36</v>
      </c>
    </row>
    <row r="63" spans="2:8" ht="15.75" thickBot="1" x14ac:dyDescent="0.3">
      <c r="B63" s="101" t="s">
        <v>156</v>
      </c>
      <c r="C63" s="193"/>
      <c r="D63" s="187"/>
      <c r="E63" s="187"/>
      <c r="F63" s="188"/>
    </row>
    <row r="64" spans="2:8" x14ac:dyDescent="0.25">
      <c r="B64" s="131"/>
      <c r="F64" s="133"/>
    </row>
    <row r="65" spans="2:6" x14ac:dyDescent="0.25">
      <c r="B65" s="131" t="s">
        <v>27</v>
      </c>
      <c r="C65" s="136">
        <f>C52</f>
        <v>966.33</v>
      </c>
      <c r="F65" s="133"/>
    </row>
    <row r="66" spans="2:6" x14ac:dyDescent="0.25">
      <c r="B66" s="131" t="s">
        <v>53</v>
      </c>
      <c r="C66" s="136">
        <f>C65+E66</f>
        <v>966.33</v>
      </c>
      <c r="E66" s="73">
        <f>-'Input parameters'!C45</f>
        <v>0</v>
      </c>
      <c r="F66" s="133"/>
    </row>
    <row r="67" spans="2:6" x14ac:dyDescent="0.25">
      <c r="B67" s="131" t="s">
        <v>190</v>
      </c>
      <c r="C67" s="181">
        <f>C66*D67</f>
        <v>579.798</v>
      </c>
      <c r="D67" s="194">
        <f>E54</f>
        <v>0.6</v>
      </c>
      <c r="F67" s="133"/>
    </row>
    <row r="68" spans="2:6" ht="15.75" thickBot="1" x14ac:dyDescent="0.3">
      <c r="B68" s="147" t="s">
        <v>191</v>
      </c>
      <c r="C68" s="195">
        <f>C66*D68</f>
        <v>386.53200000000004</v>
      </c>
      <c r="D68" s="196">
        <f>E55</f>
        <v>0.4</v>
      </c>
      <c r="E68" s="149"/>
      <c r="F68" s="150"/>
    </row>
  </sheetData>
  <sheetProtection algorithmName="SHA-512" hashValue="aSfZCNMs4nFEUa0N/nrH+t2K/VvIM+xPZLez058MZ8lytkbVoEm7HUKYc1yCvB9pFInwkbAC2oIrnu499+Km8g==" saltValue="rPaxkDCmlGra717rbqOjsg==" spinCount="100000" sheet="1" objects="1" scenarios="1" selectLockedCells="1"/>
  <hyperlinks>
    <hyperlink ref="L23" r:id="rId1" xr:uid="{00000000-0004-0000-0100-000000000000}"/>
    <hyperlink ref="B7" r:id="rId2" display="http://www.advocaat-bemiddelaar.gent/" xr:uid="{E9897460-D17A-4113-AF41-FA897A1B8DF5}"/>
  </hyperlinks>
  <pageMargins left="0.7" right="0.7" top="0.75" bottom="0.75" header="0.3" footer="0.3"/>
  <pageSetup paperSize="9" scale="48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FFFF00"/>
    <pageSetUpPr fitToPage="1"/>
  </sheetPr>
  <dimension ref="B1:R41"/>
  <sheetViews>
    <sheetView showGridLines="0" topLeftCell="A7" workbookViewId="0">
      <selection activeCell="O36" sqref="O36"/>
    </sheetView>
  </sheetViews>
  <sheetFormatPr defaultColWidth="8.85546875" defaultRowHeight="15" x14ac:dyDescent="0.25"/>
  <cols>
    <col min="1" max="1" width="8.85546875" style="73"/>
    <col min="2" max="2" width="52.42578125" style="73" customWidth="1"/>
    <col min="3" max="6" width="12.7109375" style="73" customWidth="1"/>
    <col min="7" max="7" width="8.85546875" style="73"/>
    <col min="8" max="8" width="29.28515625" style="73" customWidth="1"/>
    <col min="9" max="12" width="12.7109375" style="73" customWidth="1"/>
    <col min="13" max="13" width="8.85546875" style="73"/>
    <col min="14" max="14" width="29.28515625" style="73" customWidth="1"/>
    <col min="15" max="18" width="12.7109375" style="73" customWidth="1"/>
    <col min="19" max="16384" width="8.85546875" style="73"/>
  </cols>
  <sheetData>
    <row r="1" spans="2:18" x14ac:dyDescent="0.25">
      <c r="C1" s="72"/>
      <c r="E1" s="74"/>
      <c r="F1" s="74"/>
      <c r="G1" s="74"/>
      <c r="H1" s="74"/>
      <c r="I1" s="74"/>
      <c r="J1" s="74"/>
      <c r="K1" s="74"/>
      <c r="L1" s="74"/>
      <c r="M1" s="74"/>
    </row>
    <row r="2" spans="2:18" x14ac:dyDescent="0.25">
      <c r="C2" s="72"/>
      <c r="E2" s="74"/>
      <c r="F2" s="74"/>
      <c r="G2" s="74"/>
      <c r="H2" s="74"/>
      <c r="I2" s="74"/>
      <c r="J2" s="74"/>
      <c r="K2" s="74"/>
      <c r="L2" s="74"/>
      <c r="M2" s="74"/>
    </row>
    <row r="3" spans="2:18" x14ac:dyDescent="0.25">
      <c r="C3" s="72"/>
      <c r="E3" s="74"/>
      <c r="F3" s="74"/>
      <c r="G3" s="74"/>
      <c r="H3" s="74"/>
      <c r="I3" s="74"/>
      <c r="J3" s="74"/>
      <c r="K3" s="74"/>
      <c r="L3" s="74"/>
      <c r="M3" s="74"/>
    </row>
    <row r="4" spans="2:18" x14ac:dyDescent="0.25">
      <c r="C4" s="72"/>
      <c r="E4" s="74"/>
      <c r="F4" s="74"/>
      <c r="G4" s="74"/>
      <c r="H4" s="74"/>
      <c r="I4" s="74"/>
      <c r="J4" s="74"/>
      <c r="K4" s="74"/>
      <c r="L4" s="74"/>
      <c r="M4" s="74"/>
    </row>
    <row r="5" spans="2:18" x14ac:dyDescent="0.25">
      <c r="C5" s="72"/>
      <c r="E5" s="74"/>
      <c r="F5" s="74"/>
      <c r="G5" s="74"/>
      <c r="H5" s="74"/>
      <c r="I5" s="74"/>
      <c r="J5" s="74"/>
      <c r="K5" s="74"/>
      <c r="L5" s="74"/>
      <c r="M5" s="74"/>
    </row>
    <row r="6" spans="2:18" x14ac:dyDescent="0.25">
      <c r="C6" s="72"/>
      <c r="E6" s="74"/>
      <c r="F6" s="74"/>
      <c r="G6" s="74"/>
      <c r="H6" s="74"/>
      <c r="I6" s="74"/>
      <c r="J6" s="74"/>
      <c r="K6" s="74"/>
      <c r="L6" s="74"/>
      <c r="M6" s="74"/>
    </row>
    <row r="7" spans="2:18" x14ac:dyDescent="0.25">
      <c r="B7" s="71" t="s">
        <v>164</v>
      </c>
      <c r="C7" s="72"/>
      <c r="E7" s="74"/>
      <c r="F7" s="74"/>
      <c r="G7" s="74"/>
      <c r="H7" s="74"/>
      <c r="I7" s="74"/>
      <c r="J7" s="74"/>
      <c r="K7" s="74"/>
      <c r="L7" s="74"/>
      <c r="M7" s="74"/>
    </row>
    <row r="8" spans="2:18" ht="15.75" thickBot="1" x14ac:dyDescent="0.3"/>
    <row r="9" spans="2:18" ht="15.75" thickBot="1" x14ac:dyDescent="0.3">
      <c r="B9" s="197" t="s">
        <v>106</v>
      </c>
      <c r="C9" s="198"/>
      <c r="D9" s="198"/>
      <c r="E9" s="198"/>
      <c r="F9" s="199"/>
      <c r="H9" s="81" t="str">
        <f>'Input parameters'!N9</f>
        <v>update leefloon 05.2024</v>
      </c>
      <c r="I9" s="81"/>
      <c r="J9" s="81"/>
      <c r="K9" s="81"/>
      <c r="L9" s="81"/>
      <c r="N9" s="81"/>
      <c r="O9" s="81"/>
      <c r="P9" s="81"/>
      <c r="Q9" s="81"/>
      <c r="R9" s="81"/>
    </row>
    <row r="10" spans="2:18" ht="15.75" thickBot="1" x14ac:dyDescent="0.3"/>
    <row r="11" spans="2:18" ht="15.75" thickBot="1" x14ac:dyDescent="0.3">
      <c r="B11" s="101" t="s">
        <v>26</v>
      </c>
      <c r="C11" s="187"/>
      <c r="D11" s="187"/>
      <c r="E11" s="187"/>
      <c r="F11" s="188"/>
      <c r="H11" s="101" t="s">
        <v>108</v>
      </c>
      <c r="I11" s="187"/>
      <c r="J11" s="187"/>
      <c r="K11" s="187"/>
      <c r="L11" s="188"/>
      <c r="N11" s="101" t="s">
        <v>109</v>
      </c>
      <c r="O11" s="187"/>
      <c r="P11" s="187"/>
      <c r="Q11" s="187"/>
      <c r="R11" s="188"/>
    </row>
    <row r="12" spans="2:18" x14ac:dyDescent="0.25">
      <c r="B12" s="131" t="s">
        <v>27</v>
      </c>
      <c r="C12" s="136">
        <f>'Hobin Clasic'!C34</f>
        <v>1932.66</v>
      </c>
      <c r="D12" s="136"/>
      <c r="E12" s="164">
        <f>'Hobin Clasic'!E34</f>
        <v>0.3579</v>
      </c>
      <c r="F12" s="179">
        <f>'Hobin Clasic'!F34</f>
        <v>1932.66</v>
      </c>
      <c r="H12" s="131" t="s">
        <v>27</v>
      </c>
      <c r="I12" s="136">
        <f>L12*C12/F12</f>
        <v>507.6</v>
      </c>
      <c r="J12" s="136"/>
      <c r="K12" s="164">
        <f>Tabel!Z16</f>
        <v>9.4E-2</v>
      </c>
      <c r="L12" s="179">
        <f>'Uitgebreid verblijfsgeb+overst'!K12*'Hobin Clasic'!C33</f>
        <v>507.6</v>
      </c>
      <c r="N12" s="131" t="s">
        <v>27</v>
      </c>
      <c r="O12" s="136">
        <f>R12*C12/F12</f>
        <v>491.4</v>
      </c>
      <c r="P12" s="136"/>
      <c r="Q12" s="164">
        <f>Tabel!Z17</f>
        <v>9.0999999999999998E-2</v>
      </c>
      <c r="R12" s="179">
        <f>Q12*'Hobin Clasic'!C33</f>
        <v>491.4</v>
      </c>
    </row>
    <row r="13" spans="2:18" x14ac:dyDescent="0.25">
      <c r="B13" s="131" t="s">
        <v>28</v>
      </c>
      <c r="C13" s="136"/>
      <c r="D13" s="136">
        <f>C12-SUM('Input parameters'!C34:C43)</f>
        <v>1532.66</v>
      </c>
      <c r="F13" s="133"/>
      <c r="H13" s="131" t="s">
        <v>28</v>
      </c>
      <c r="I13" s="136"/>
      <c r="J13" s="136">
        <f>I12-'Input parameters'!C34-'Input parameters'!C40</f>
        <v>407.6</v>
      </c>
      <c r="L13" s="133"/>
      <c r="N13" s="131" t="s">
        <v>28</v>
      </c>
      <c r="O13" s="136"/>
      <c r="P13" s="136">
        <f>O12-'Input parameters'!C35-'Input parameters'!C41</f>
        <v>391.4</v>
      </c>
      <c r="R13" s="133"/>
    </row>
    <row r="14" spans="2:18" x14ac:dyDescent="0.25">
      <c r="B14" s="131" t="s">
        <v>130</v>
      </c>
      <c r="C14" s="136"/>
      <c r="D14" s="136">
        <f>E14*D13</f>
        <v>919.596</v>
      </c>
      <c r="E14" s="180">
        <f>'Hobin Clasic'!C22</f>
        <v>0.6</v>
      </c>
      <c r="F14" s="133"/>
      <c r="H14" s="131" t="s">
        <v>130</v>
      </c>
      <c r="I14" s="136"/>
      <c r="J14" s="136">
        <f>K14*J13</f>
        <v>244.56</v>
      </c>
      <c r="K14" s="180">
        <f>E14</f>
        <v>0.6</v>
      </c>
      <c r="L14" s="133"/>
      <c r="N14" s="131" t="s">
        <v>130</v>
      </c>
      <c r="O14" s="136"/>
      <c r="P14" s="136">
        <f>Q14*P13</f>
        <v>234.83999999999997</v>
      </c>
      <c r="Q14" s="180">
        <f>K14</f>
        <v>0.6</v>
      </c>
      <c r="R14" s="133"/>
    </row>
    <row r="15" spans="2:18" x14ac:dyDescent="0.25">
      <c r="B15" s="131" t="s">
        <v>129</v>
      </c>
      <c r="C15" s="136"/>
      <c r="D15" s="136">
        <f>D13*E15</f>
        <v>613.06400000000008</v>
      </c>
      <c r="E15" s="180">
        <f>'Hobin Clasic'!C24</f>
        <v>0.4</v>
      </c>
      <c r="F15" s="133"/>
      <c r="H15" s="131" t="s">
        <v>129</v>
      </c>
      <c r="I15" s="136"/>
      <c r="J15" s="136">
        <f>J13*K15</f>
        <v>163.04000000000002</v>
      </c>
      <c r="K15" s="180">
        <f>E15</f>
        <v>0.4</v>
      </c>
      <c r="L15" s="133"/>
      <c r="N15" s="131" t="s">
        <v>129</v>
      </c>
      <c r="O15" s="136"/>
      <c r="P15" s="136">
        <f>P13*Q15</f>
        <v>156.56</v>
      </c>
      <c r="Q15" s="180">
        <f>K15</f>
        <v>0.4</v>
      </c>
      <c r="R15" s="133"/>
    </row>
    <row r="16" spans="2:18" x14ac:dyDescent="0.25">
      <c r="B16" s="131"/>
      <c r="C16" s="136"/>
      <c r="D16" s="136"/>
      <c r="F16" s="133"/>
      <c r="H16" s="131"/>
      <c r="I16" s="136"/>
      <c r="J16" s="136"/>
      <c r="L16" s="133"/>
      <c r="N16" s="131"/>
      <c r="O16" s="136"/>
      <c r="P16" s="136"/>
      <c r="R16" s="133"/>
    </row>
    <row r="17" spans="2:18" x14ac:dyDescent="0.25">
      <c r="B17" s="131" t="s">
        <v>131</v>
      </c>
      <c r="C17" s="136">
        <f>C12*E17</f>
        <v>283.90775400000001</v>
      </c>
      <c r="D17" s="136"/>
      <c r="E17" s="120">
        <f>'Hobin Clasic'!C27</f>
        <v>0.1469</v>
      </c>
      <c r="F17" s="133"/>
      <c r="H17" s="131" t="s">
        <v>131</v>
      </c>
      <c r="I17" s="136">
        <f>I12*K17</f>
        <v>74.56644</v>
      </c>
      <c r="J17" s="136"/>
      <c r="K17" s="120">
        <f>E17</f>
        <v>0.1469</v>
      </c>
      <c r="L17" s="133"/>
      <c r="N17" s="131" t="s">
        <v>131</v>
      </c>
      <c r="O17" s="136">
        <f>O12*Q17</f>
        <v>72.186660000000003</v>
      </c>
      <c r="P17" s="136"/>
      <c r="Q17" s="120">
        <f>K17</f>
        <v>0.1469</v>
      </c>
      <c r="R17" s="133"/>
    </row>
    <row r="18" spans="2:18" x14ac:dyDescent="0.25">
      <c r="B18" s="131" t="s">
        <v>132</v>
      </c>
      <c r="C18" s="181">
        <f>C17+E18</f>
        <v>283.90775400000001</v>
      </c>
      <c r="D18" s="136"/>
      <c r="E18" s="73">
        <f>-('Input parameters'!C34+'Input parameters'!C35+'Input parameters'!C36+'Input parameters'!C37)</f>
        <v>0</v>
      </c>
      <c r="F18" s="133"/>
      <c r="H18" s="131" t="s">
        <v>132</v>
      </c>
      <c r="I18" s="181">
        <f>I17+K18</f>
        <v>74.56644</v>
      </c>
      <c r="J18" s="136"/>
      <c r="K18" s="73">
        <f>-'Input parameters'!C34</f>
        <v>0</v>
      </c>
      <c r="L18" s="133"/>
      <c r="N18" s="131" t="s">
        <v>132</v>
      </c>
      <c r="O18" s="181">
        <f>O17+Q18</f>
        <v>72.186660000000003</v>
      </c>
      <c r="P18" s="136"/>
      <c r="Q18" s="73">
        <f>-'Input parameters'!C35</f>
        <v>0</v>
      </c>
      <c r="R18" s="133"/>
    </row>
    <row r="19" spans="2:18" x14ac:dyDescent="0.25">
      <c r="B19" s="131" t="s">
        <v>136</v>
      </c>
      <c r="C19" s="136">
        <f>C12*E19</f>
        <v>1648.752246</v>
      </c>
      <c r="D19" s="136"/>
      <c r="E19" s="120">
        <f>'Hobin Clasic'!C30</f>
        <v>0.85309999999999997</v>
      </c>
      <c r="F19" s="133"/>
      <c r="H19" s="131" t="s">
        <v>136</v>
      </c>
      <c r="I19" s="136">
        <f>I12*K19</f>
        <v>433.03356000000002</v>
      </c>
      <c r="J19" s="136"/>
      <c r="K19" s="120">
        <f>E19</f>
        <v>0.85309999999999997</v>
      </c>
      <c r="L19" s="133"/>
      <c r="N19" s="131" t="s">
        <v>136</v>
      </c>
      <c r="O19" s="136">
        <f>O12*Q19</f>
        <v>419.21333999999996</v>
      </c>
      <c r="P19" s="136"/>
      <c r="Q19" s="120">
        <f>K19</f>
        <v>0.85309999999999997</v>
      </c>
      <c r="R19" s="133"/>
    </row>
    <row r="20" spans="2:18" x14ac:dyDescent="0.25">
      <c r="B20" s="131" t="s">
        <v>135</v>
      </c>
      <c r="C20" s="181">
        <f>C19+E20</f>
        <v>1248.752246</v>
      </c>
      <c r="D20" s="136"/>
      <c r="E20" s="73">
        <f>-SUM('Input parameters'!C40+'Input parameters'!C41+'Input parameters'!C42+'Input parameters'!C43)</f>
        <v>-400</v>
      </c>
      <c r="F20" s="182"/>
      <c r="H20" s="131" t="s">
        <v>135</v>
      </c>
      <c r="I20" s="181">
        <f>I19+K20</f>
        <v>333.03356000000002</v>
      </c>
      <c r="J20" s="136"/>
      <c r="K20" s="73">
        <f>-'Input parameters'!C40</f>
        <v>-100</v>
      </c>
      <c r="L20" s="182"/>
      <c r="N20" s="131" t="s">
        <v>135</v>
      </c>
      <c r="O20" s="181">
        <f>O19+Q20</f>
        <v>319.21333999999996</v>
      </c>
      <c r="P20" s="136"/>
      <c r="Q20" s="73">
        <f>-'Input parameters'!C41</f>
        <v>-100</v>
      </c>
      <c r="R20" s="182"/>
    </row>
    <row r="21" spans="2:18" x14ac:dyDescent="0.25">
      <c r="B21" s="131"/>
      <c r="D21" s="136"/>
      <c r="F21" s="133"/>
      <c r="H21" s="131"/>
      <c r="J21" s="136"/>
      <c r="L21" s="133"/>
      <c r="N21" s="131"/>
      <c r="P21" s="136"/>
      <c r="R21" s="133"/>
    </row>
    <row r="22" spans="2:18" ht="15.75" thickBot="1" x14ac:dyDescent="0.3">
      <c r="B22" s="183" t="s">
        <v>137</v>
      </c>
      <c r="C22" s="184">
        <f>D14-C18</f>
        <v>635.68824599999994</v>
      </c>
      <c r="D22" s="185" t="s">
        <v>138</v>
      </c>
      <c r="E22" s="184">
        <f>C22/'Hobin Clasic'!C12</f>
        <v>158.92206149999998</v>
      </c>
      <c r="F22" s="186" t="s">
        <v>36</v>
      </c>
      <c r="H22" s="147" t="s">
        <v>107</v>
      </c>
      <c r="I22" s="195">
        <f>J14-I18</f>
        <v>169.99356</v>
      </c>
      <c r="J22" s="200"/>
      <c r="K22" s="195"/>
      <c r="L22" s="150"/>
      <c r="N22" s="147" t="s">
        <v>107</v>
      </c>
      <c r="O22" s="195">
        <f>P14-O18</f>
        <v>162.65333999999996</v>
      </c>
      <c r="P22" s="200"/>
      <c r="Q22" s="195"/>
      <c r="R22" s="150"/>
    </row>
    <row r="23" spans="2:18" ht="15.75" thickBot="1" x14ac:dyDescent="0.3"/>
    <row r="24" spans="2:18" ht="15.75" thickBot="1" x14ac:dyDescent="0.3">
      <c r="B24" s="101" t="s">
        <v>37</v>
      </c>
      <c r="C24" s="187"/>
      <c r="D24" s="187"/>
      <c r="E24" s="187"/>
      <c r="F24" s="129"/>
      <c r="H24" s="75" t="s">
        <v>139</v>
      </c>
      <c r="I24" s="201"/>
      <c r="J24" s="201"/>
      <c r="K24" s="201"/>
      <c r="L24" s="202"/>
      <c r="N24" s="75" t="s">
        <v>140</v>
      </c>
      <c r="O24" s="201"/>
      <c r="P24" s="201"/>
      <c r="Q24" s="201"/>
      <c r="R24" s="202"/>
    </row>
    <row r="25" spans="2:18" x14ac:dyDescent="0.25">
      <c r="B25" s="131" t="s">
        <v>192</v>
      </c>
      <c r="F25" s="133"/>
      <c r="H25" s="131" t="s">
        <v>27</v>
      </c>
      <c r="I25" s="136">
        <f>L25*C12/F12</f>
        <v>475.2</v>
      </c>
      <c r="J25" s="136"/>
      <c r="K25" s="164">
        <f>Tabel!Z18</f>
        <v>8.7999999999999995E-2</v>
      </c>
      <c r="L25" s="179">
        <f>K25*'Hobin Clasic'!C33</f>
        <v>475.2</v>
      </c>
      <c r="N25" s="131" t="s">
        <v>27</v>
      </c>
      <c r="O25" s="136">
        <f>R25*C12/F12</f>
        <v>458.46000000000004</v>
      </c>
      <c r="P25" s="136"/>
      <c r="Q25" s="164">
        <f>Tabel!Z19</f>
        <v>8.4900000000000003E-2</v>
      </c>
      <c r="R25" s="179">
        <f>Q25*'Hobin Clasic'!C33</f>
        <v>458.46000000000004</v>
      </c>
    </row>
    <row r="26" spans="2:18" x14ac:dyDescent="0.25">
      <c r="B26" s="131" t="s">
        <v>38</v>
      </c>
      <c r="C26" s="136">
        <f>C17</f>
        <v>283.90775400000001</v>
      </c>
      <c r="F26" s="182"/>
      <c r="H26" s="131" t="s">
        <v>28</v>
      </c>
      <c r="I26" s="136"/>
      <c r="J26" s="136">
        <f>I25-'Input parameters'!C36-'Input parameters'!C42</f>
        <v>375.2</v>
      </c>
      <c r="L26" s="133"/>
      <c r="N26" s="131" t="s">
        <v>28</v>
      </c>
      <c r="O26" s="136"/>
      <c r="P26" s="136">
        <f>O25-'Input parameters'!C37-'Input parameters'!C43</f>
        <v>358.46000000000004</v>
      </c>
      <c r="R26" s="133"/>
    </row>
    <row r="27" spans="2:18" x14ac:dyDescent="0.25">
      <c r="B27" s="131" t="s">
        <v>142</v>
      </c>
      <c r="C27" s="136">
        <f>E18</f>
        <v>0</v>
      </c>
      <c r="F27" s="182"/>
      <c r="H27" s="131" t="s">
        <v>130</v>
      </c>
      <c r="I27" s="136"/>
      <c r="J27" s="136">
        <f>K27*J26</f>
        <v>225.11999999999998</v>
      </c>
      <c r="K27" s="180">
        <f>K14</f>
        <v>0.6</v>
      </c>
      <c r="L27" s="133"/>
      <c r="N27" s="131" t="s">
        <v>130</v>
      </c>
      <c r="O27" s="136"/>
      <c r="P27" s="136">
        <f>Q27*P26</f>
        <v>215.07600000000002</v>
      </c>
      <c r="Q27" s="180">
        <f>K27</f>
        <v>0.6</v>
      </c>
      <c r="R27" s="133"/>
    </row>
    <row r="28" spans="2:18" x14ac:dyDescent="0.25">
      <c r="B28" s="131" t="s">
        <v>143</v>
      </c>
      <c r="C28" s="136">
        <f>C22</f>
        <v>635.68824599999994</v>
      </c>
      <c r="F28" s="182"/>
      <c r="H28" s="131" t="s">
        <v>129</v>
      </c>
      <c r="I28" s="136"/>
      <c r="J28" s="136">
        <f>J26*K28</f>
        <v>150.08000000000001</v>
      </c>
      <c r="K28" s="180">
        <f>K15</f>
        <v>0.4</v>
      </c>
      <c r="L28" s="133"/>
      <c r="N28" s="131" t="s">
        <v>129</v>
      </c>
      <c r="O28" s="136"/>
      <c r="P28" s="136">
        <f>P26*Q28</f>
        <v>143.38400000000001</v>
      </c>
      <c r="Q28" s="180">
        <f>K28</f>
        <v>0.4</v>
      </c>
      <c r="R28" s="133"/>
    </row>
    <row r="29" spans="2:18" x14ac:dyDescent="0.25">
      <c r="B29" s="131" t="s">
        <v>41</v>
      </c>
      <c r="C29" s="181">
        <f>SUM(C26:C28)</f>
        <v>919.596</v>
      </c>
      <c r="F29" s="203"/>
      <c r="H29" s="131"/>
      <c r="I29" s="136"/>
      <c r="J29" s="136"/>
      <c r="L29" s="133"/>
      <c r="N29" s="131"/>
      <c r="O29" s="136"/>
      <c r="P29" s="136"/>
      <c r="R29" s="133"/>
    </row>
    <row r="30" spans="2:18" x14ac:dyDescent="0.25">
      <c r="B30" s="131" t="s">
        <v>39</v>
      </c>
      <c r="C30" s="151">
        <f>C29/D13</f>
        <v>0.6</v>
      </c>
      <c r="F30" s="204"/>
      <c r="H30" s="131" t="s">
        <v>131</v>
      </c>
      <c r="I30" s="136">
        <f>I25*K30</f>
        <v>69.806880000000007</v>
      </c>
      <c r="J30" s="136"/>
      <c r="K30" s="120">
        <f>K17</f>
        <v>0.1469</v>
      </c>
      <c r="L30" s="133"/>
      <c r="N30" s="131" t="s">
        <v>131</v>
      </c>
      <c r="O30" s="136">
        <f>O25*Q30</f>
        <v>67.347774000000001</v>
      </c>
      <c r="P30" s="136"/>
      <c r="Q30" s="120">
        <f>K30</f>
        <v>0.1469</v>
      </c>
      <c r="R30" s="133"/>
    </row>
    <row r="31" spans="2:18" x14ac:dyDescent="0.25">
      <c r="B31" s="131"/>
      <c r="F31" s="133"/>
      <c r="H31" s="131" t="s">
        <v>132</v>
      </c>
      <c r="I31" s="181">
        <f>I30+K31</f>
        <v>69.806880000000007</v>
      </c>
      <c r="J31" s="136"/>
      <c r="K31" s="73">
        <f>-'Input parameters'!C36</f>
        <v>0</v>
      </c>
      <c r="L31" s="133"/>
      <c r="N31" s="131" t="s">
        <v>132</v>
      </c>
      <c r="O31" s="181">
        <f>O30+Q31</f>
        <v>67.347774000000001</v>
      </c>
      <c r="P31" s="136"/>
      <c r="Q31" s="73">
        <f>-'Input parameters'!C37</f>
        <v>0</v>
      </c>
      <c r="R31" s="133"/>
    </row>
    <row r="32" spans="2:18" x14ac:dyDescent="0.25">
      <c r="B32" s="131" t="s">
        <v>193</v>
      </c>
      <c r="F32" s="133"/>
      <c r="H32" s="131" t="s">
        <v>136</v>
      </c>
      <c r="I32" s="136">
        <f>I25*K32</f>
        <v>405.39311999999995</v>
      </c>
      <c r="J32" s="136"/>
      <c r="K32" s="120">
        <f>K19</f>
        <v>0.85309999999999997</v>
      </c>
      <c r="L32" s="133"/>
      <c r="N32" s="131" t="s">
        <v>136</v>
      </c>
      <c r="O32" s="136">
        <f>O25*Q32</f>
        <v>391.11222600000002</v>
      </c>
      <c r="P32" s="136"/>
      <c r="Q32" s="120">
        <f>K32</f>
        <v>0.85309999999999997</v>
      </c>
      <c r="R32" s="133"/>
    </row>
    <row r="33" spans="2:18" x14ac:dyDescent="0.25">
      <c r="B33" s="131" t="s">
        <v>40</v>
      </c>
      <c r="C33" s="136">
        <f>C19</f>
        <v>1648.752246</v>
      </c>
      <c r="F33" s="182"/>
      <c r="H33" s="131" t="s">
        <v>135</v>
      </c>
      <c r="I33" s="181">
        <f>I32+K33</f>
        <v>305.39311999999995</v>
      </c>
      <c r="J33" s="136"/>
      <c r="K33" s="73">
        <f>-'Input parameters'!C42</f>
        <v>-100</v>
      </c>
      <c r="L33" s="182"/>
      <c r="N33" s="131" t="s">
        <v>135</v>
      </c>
      <c r="O33" s="181">
        <f>O32+Q33</f>
        <v>291.11222600000002</v>
      </c>
      <c r="P33" s="136"/>
      <c r="Q33" s="73">
        <f>-'Input parameters'!C43</f>
        <v>-100</v>
      </c>
      <c r="R33" s="182"/>
    </row>
    <row r="34" spans="2:18" x14ac:dyDescent="0.25">
      <c r="B34" s="131" t="s">
        <v>144</v>
      </c>
      <c r="C34" s="136">
        <f>E20</f>
        <v>-400</v>
      </c>
      <c r="F34" s="182"/>
      <c r="H34" s="131"/>
      <c r="J34" s="136"/>
      <c r="L34" s="133"/>
      <c r="N34" s="131"/>
      <c r="P34" s="136"/>
      <c r="R34" s="133"/>
    </row>
    <row r="35" spans="2:18" x14ac:dyDescent="0.25">
      <c r="B35" s="131" t="s">
        <v>143</v>
      </c>
      <c r="C35" s="136">
        <f>-C28</f>
        <v>-635.68824599999994</v>
      </c>
      <c r="F35" s="182"/>
      <c r="H35" s="131" t="s">
        <v>107</v>
      </c>
      <c r="I35" s="181">
        <f>J27-I31</f>
        <v>155.31311999999997</v>
      </c>
      <c r="J35" s="136"/>
      <c r="K35" s="181"/>
      <c r="L35" s="133"/>
      <c r="N35" s="131" t="s">
        <v>107</v>
      </c>
      <c r="O35" s="181">
        <f>P27-O31</f>
        <v>147.72822600000001</v>
      </c>
      <c r="P35" s="136"/>
      <c r="Q35" s="181"/>
      <c r="R35" s="133"/>
    </row>
    <row r="36" spans="2:18" x14ac:dyDescent="0.25">
      <c r="B36" s="131" t="s">
        <v>41</v>
      </c>
      <c r="C36" s="181">
        <f>SUM(C33:C35)</f>
        <v>613.06400000000008</v>
      </c>
      <c r="F36" s="203"/>
      <c r="H36" s="131"/>
      <c r="I36" s="181"/>
      <c r="L36" s="203"/>
      <c r="N36" s="131"/>
      <c r="O36" s="181"/>
      <c r="R36" s="203"/>
    </row>
    <row r="37" spans="2:18" ht="15.75" thickBot="1" x14ac:dyDescent="0.3">
      <c r="B37" s="147" t="s">
        <v>39</v>
      </c>
      <c r="C37" s="205">
        <f>C36/D13</f>
        <v>0.4</v>
      </c>
      <c r="D37" s="149"/>
      <c r="E37" s="149"/>
      <c r="F37" s="206"/>
      <c r="H37" s="147"/>
      <c r="I37" s="207"/>
      <c r="J37" s="149"/>
      <c r="K37" s="149"/>
      <c r="L37" s="206"/>
      <c r="N37" s="147"/>
      <c r="O37" s="207"/>
      <c r="P37" s="149"/>
      <c r="Q37" s="149"/>
      <c r="R37" s="206"/>
    </row>
    <row r="39" spans="2:18" x14ac:dyDescent="0.25">
      <c r="I39" s="136"/>
    </row>
    <row r="40" spans="2:18" x14ac:dyDescent="0.25">
      <c r="C40" s="136"/>
      <c r="I40" s="136"/>
      <c r="O40" s="136"/>
    </row>
    <row r="41" spans="2:18" x14ac:dyDescent="0.25">
      <c r="I41" s="136"/>
    </row>
  </sheetData>
  <sheetProtection algorithmName="SHA-512" hashValue="r+cU6l8nwyTzMWtLk5nHU0njQWHpgS4Cjn3jTyOIXbb7Yx/At+aNbp145zmfBk6Y2QlfBjp6ZWsaeBsVBwAj3Q==" saltValue="5IfccAmXsH7qjKP86lIbow==" spinCount="100000" sheet="1" objects="1" scenarios="1" selectLockedCells="1" selectUnlockedCells="1"/>
  <hyperlinks>
    <hyperlink ref="B7" r:id="rId1" display="http://www.advocaat-bemiddelaar.gent/" xr:uid="{1B4BCC42-0509-4353-AC35-0262B1AEBD3A}"/>
  </hyperlinks>
  <pageMargins left="0.7" right="0.7" top="0.75" bottom="0.75" header="0.3" footer="0.3"/>
  <pageSetup paperSize="9" scale="45" orientation="landscape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rgb="FFFFFF00"/>
    <pageSetUpPr fitToPage="1"/>
  </sheetPr>
  <dimension ref="B1:R64"/>
  <sheetViews>
    <sheetView showGridLines="0" topLeftCell="A14" workbookViewId="0">
      <selection activeCell="O36" sqref="O36"/>
    </sheetView>
  </sheetViews>
  <sheetFormatPr defaultColWidth="8.85546875" defaultRowHeight="15" x14ac:dyDescent="0.25"/>
  <cols>
    <col min="1" max="1" width="8.85546875" style="73"/>
    <col min="2" max="2" width="52.42578125" style="73" customWidth="1"/>
    <col min="3" max="6" width="12.7109375" style="73" customWidth="1"/>
    <col min="7" max="7" width="8.85546875" style="73"/>
    <col min="8" max="8" width="29.28515625" style="73" customWidth="1"/>
    <col min="9" max="12" width="12.7109375" style="73" customWidth="1"/>
    <col min="13" max="13" width="8.85546875" style="73"/>
    <col min="14" max="14" width="29.28515625" style="73" customWidth="1"/>
    <col min="15" max="18" width="12.7109375" style="73" customWidth="1"/>
    <col min="19" max="16384" width="8.85546875" style="73"/>
  </cols>
  <sheetData>
    <row r="1" spans="2:18" x14ac:dyDescent="0.25">
      <c r="C1" s="72"/>
      <c r="E1" s="74"/>
      <c r="F1" s="74"/>
      <c r="G1" s="74"/>
      <c r="H1" s="74"/>
      <c r="I1" s="74"/>
      <c r="J1" s="74"/>
      <c r="K1" s="74"/>
      <c r="L1" s="74"/>
      <c r="M1" s="74"/>
    </row>
    <row r="2" spans="2:18" x14ac:dyDescent="0.25">
      <c r="C2" s="72"/>
      <c r="E2" s="74"/>
      <c r="F2" s="74"/>
      <c r="G2" s="74"/>
      <c r="H2" s="74"/>
      <c r="I2" s="74"/>
      <c r="J2" s="74"/>
      <c r="K2" s="74"/>
      <c r="L2" s="74"/>
      <c r="M2" s="74"/>
    </row>
    <row r="3" spans="2:18" x14ac:dyDescent="0.25">
      <c r="C3" s="72"/>
      <c r="E3" s="74"/>
      <c r="F3" s="74"/>
      <c r="G3" s="74"/>
      <c r="H3" s="74"/>
      <c r="I3" s="74"/>
      <c r="J3" s="74"/>
      <c r="K3" s="74"/>
      <c r="L3" s="74"/>
      <c r="M3" s="74"/>
    </row>
    <row r="4" spans="2:18" x14ac:dyDescent="0.25">
      <c r="C4" s="72"/>
      <c r="E4" s="74"/>
      <c r="F4" s="74"/>
      <c r="G4" s="74"/>
      <c r="H4" s="74"/>
      <c r="I4" s="74"/>
      <c r="J4" s="74"/>
      <c r="K4" s="74"/>
      <c r="L4" s="74"/>
      <c r="M4" s="74"/>
    </row>
    <row r="5" spans="2:18" x14ac:dyDescent="0.25">
      <c r="C5" s="72"/>
      <c r="E5" s="74"/>
      <c r="F5" s="74"/>
      <c r="G5" s="74"/>
      <c r="H5" s="74"/>
      <c r="I5" s="74"/>
      <c r="J5" s="74"/>
      <c r="K5" s="74"/>
      <c r="L5" s="74"/>
      <c r="M5" s="74"/>
    </row>
    <row r="6" spans="2:18" x14ac:dyDescent="0.25">
      <c r="C6" s="72"/>
      <c r="E6" s="74"/>
      <c r="F6" s="74"/>
      <c r="G6" s="74"/>
      <c r="H6" s="74"/>
      <c r="I6" s="74"/>
      <c r="J6" s="74"/>
      <c r="K6" s="74"/>
      <c r="L6" s="74"/>
      <c r="M6" s="74"/>
    </row>
    <row r="7" spans="2:18" x14ac:dyDescent="0.25">
      <c r="B7" s="71" t="s">
        <v>164</v>
      </c>
      <c r="C7" s="72"/>
      <c r="E7" s="74"/>
      <c r="F7" s="74"/>
      <c r="G7" s="74"/>
      <c r="H7" s="74"/>
      <c r="I7" s="74"/>
      <c r="J7" s="74"/>
      <c r="K7" s="74"/>
      <c r="L7" s="74"/>
      <c r="M7" s="74"/>
    </row>
    <row r="8" spans="2:18" ht="15.75" thickBot="1" x14ac:dyDescent="0.3"/>
    <row r="9" spans="2:18" ht="15.75" thickBot="1" x14ac:dyDescent="0.3">
      <c r="B9" s="197" t="s">
        <v>147</v>
      </c>
      <c r="C9" s="198"/>
      <c r="D9" s="198"/>
      <c r="E9" s="198"/>
      <c r="F9" s="199"/>
      <c r="H9" s="81" t="str">
        <f>'Input parameters'!N9</f>
        <v>update leefloon 05.2024</v>
      </c>
      <c r="I9" s="81"/>
      <c r="J9" s="81"/>
      <c r="K9" s="81"/>
      <c r="L9" s="81"/>
      <c r="N9" s="81"/>
      <c r="O9" s="81"/>
      <c r="P9" s="81"/>
      <c r="Q9" s="81"/>
      <c r="R9" s="81"/>
    </row>
    <row r="10" spans="2:18" ht="15.75" thickBot="1" x14ac:dyDescent="0.3"/>
    <row r="11" spans="2:18" ht="15.75" thickBot="1" x14ac:dyDescent="0.3">
      <c r="B11" s="101" t="s">
        <v>26</v>
      </c>
      <c r="C11" s="187"/>
      <c r="D11" s="187"/>
      <c r="E11" s="187"/>
      <c r="F11" s="188"/>
      <c r="H11" s="101" t="s">
        <v>108</v>
      </c>
      <c r="I11" s="187"/>
      <c r="J11" s="187"/>
      <c r="K11" s="187"/>
      <c r="L11" s="188"/>
      <c r="N11" s="101" t="s">
        <v>109</v>
      </c>
      <c r="O11" s="187"/>
      <c r="P11" s="187"/>
      <c r="Q11" s="187"/>
      <c r="R11" s="188"/>
    </row>
    <row r="12" spans="2:18" x14ac:dyDescent="0.25">
      <c r="B12" s="131" t="s">
        <v>27</v>
      </c>
      <c r="C12" s="136">
        <f>'Hobin Clasic'!C34/2</f>
        <v>966.33</v>
      </c>
      <c r="D12" s="136"/>
      <c r="E12" s="164">
        <f>'Hobin Clasic'!E34</f>
        <v>0.3579</v>
      </c>
      <c r="F12" s="179">
        <f>'Hobin Clasic'!F34/2</f>
        <v>966.33</v>
      </c>
      <c r="H12" s="131" t="s">
        <v>27</v>
      </c>
      <c r="I12" s="136">
        <f>L12*C12/F12</f>
        <v>253.8</v>
      </c>
      <c r="J12" s="136"/>
      <c r="K12" s="164">
        <f>Tabel!Z16</f>
        <v>9.4E-2</v>
      </c>
      <c r="L12" s="179">
        <f>'Uitgebreid verblijfsgeb+overst'!K12*'Hobin Clasic'!C33/2</f>
        <v>253.8</v>
      </c>
      <c r="N12" s="131" t="s">
        <v>27</v>
      </c>
      <c r="O12" s="136">
        <f>R12*C12/F12</f>
        <v>245.7</v>
      </c>
      <c r="P12" s="136"/>
      <c r="Q12" s="164">
        <f>Tabel!Z17</f>
        <v>9.0999999999999998E-2</v>
      </c>
      <c r="R12" s="179">
        <f>'Uitgebreid enkel verblijfsgeb'!Q12*'Hobin Clasic'!C33/2</f>
        <v>245.7</v>
      </c>
    </row>
    <row r="13" spans="2:18" x14ac:dyDescent="0.25">
      <c r="B13" s="131" t="s">
        <v>28</v>
      </c>
      <c r="C13" s="136"/>
      <c r="D13" s="136">
        <f>C12-SUM('Input parameters'!C34:C43)</f>
        <v>566.33000000000004</v>
      </c>
      <c r="F13" s="133"/>
      <c r="H13" s="131" t="s">
        <v>28</v>
      </c>
      <c r="I13" s="136"/>
      <c r="J13" s="136">
        <f>I12-'Input parameters'!C34-'Input parameters'!C40</f>
        <v>153.80000000000001</v>
      </c>
      <c r="L13" s="133"/>
      <c r="N13" s="131" t="s">
        <v>28</v>
      </c>
      <c r="O13" s="136"/>
      <c r="P13" s="136">
        <f>O12-'Input parameters'!C35-'Input parameters'!C41</f>
        <v>145.69999999999999</v>
      </c>
      <c r="R13" s="133"/>
    </row>
    <row r="14" spans="2:18" x14ac:dyDescent="0.25">
      <c r="B14" s="131" t="s">
        <v>130</v>
      </c>
      <c r="C14" s="136"/>
      <c r="D14" s="136">
        <f>E14*D13</f>
        <v>339.798</v>
      </c>
      <c r="E14" s="180">
        <f>'Hobin Clasic'!C22</f>
        <v>0.6</v>
      </c>
      <c r="F14" s="133"/>
      <c r="H14" s="131" t="s">
        <v>130</v>
      </c>
      <c r="I14" s="136"/>
      <c r="J14" s="136">
        <f>K14*J13</f>
        <v>92.28</v>
      </c>
      <c r="K14" s="180">
        <f>E14</f>
        <v>0.6</v>
      </c>
      <c r="L14" s="133"/>
      <c r="N14" s="131" t="s">
        <v>130</v>
      </c>
      <c r="O14" s="136"/>
      <c r="P14" s="136">
        <f>Q14*P13</f>
        <v>87.419999999999987</v>
      </c>
      <c r="Q14" s="180">
        <f>K14</f>
        <v>0.6</v>
      </c>
      <c r="R14" s="133"/>
    </row>
    <row r="15" spans="2:18" x14ac:dyDescent="0.25">
      <c r="B15" s="131" t="s">
        <v>129</v>
      </c>
      <c r="C15" s="136"/>
      <c r="D15" s="136">
        <f>D13*E15</f>
        <v>226.53200000000004</v>
      </c>
      <c r="E15" s="180">
        <f>'Hobin Clasic'!C24</f>
        <v>0.4</v>
      </c>
      <c r="F15" s="133"/>
      <c r="H15" s="131" t="s">
        <v>129</v>
      </c>
      <c r="I15" s="136"/>
      <c r="J15" s="136">
        <f>J13*K15</f>
        <v>61.52000000000001</v>
      </c>
      <c r="K15" s="180">
        <f>E15</f>
        <v>0.4</v>
      </c>
      <c r="L15" s="133"/>
      <c r="N15" s="131" t="s">
        <v>129</v>
      </c>
      <c r="O15" s="136"/>
      <c r="P15" s="136">
        <f>P13*Q15</f>
        <v>58.28</v>
      </c>
      <c r="Q15" s="180">
        <f>K15</f>
        <v>0.4</v>
      </c>
      <c r="R15" s="133"/>
    </row>
    <row r="16" spans="2:18" x14ac:dyDescent="0.25">
      <c r="B16" s="131"/>
      <c r="C16" s="136"/>
      <c r="D16" s="136"/>
      <c r="F16" s="133"/>
      <c r="H16" s="131"/>
      <c r="I16" s="136"/>
      <c r="J16" s="136"/>
      <c r="L16" s="133"/>
      <c r="N16" s="131"/>
      <c r="O16" s="136"/>
      <c r="P16" s="136"/>
      <c r="R16" s="133"/>
    </row>
    <row r="17" spans="2:18" x14ac:dyDescent="0.25">
      <c r="B17" s="131" t="s">
        <v>131</v>
      </c>
      <c r="C17" s="136">
        <f>C12*E17</f>
        <v>235.59125399999999</v>
      </c>
      <c r="D17" s="136"/>
      <c r="E17" s="120">
        <f>'Hobin Clasic'!C25</f>
        <v>0.24379999999999999</v>
      </c>
      <c r="F17" s="133"/>
      <c r="H17" s="131" t="s">
        <v>131</v>
      </c>
      <c r="I17" s="136">
        <f>I12*K17</f>
        <v>61.876440000000002</v>
      </c>
      <c r="J17" s="136"/>
      <c r="K17" s="120">
        <f>E17</f>
        <v>0.24379999999999999</v>
      </c>
      <c r="L17" s="133"/>
      <c r="N17" s="131" t="s">
        <v>131</v>
      </c>
      <c r="O17" s="136">
        <f>O12*Q17</f>
        <v>59.901659999999993</v>
      </c>
      <c r="P17" s="136"/>
      <c r="Q17" s="120">
        <f>K17</f>
        <v>0.24379999999999999</v>
      </c>
      <c r="R17" s="133"/>
    </row>
    <row r="18" spans="2:18" x14ac:dyDescent="0.25">
      <c r="B18" s="131" t="s">
        <v>132</v>
      </c>
      <c r="C18" s="181">
        <f>C17+E18</f>
        <v>235.59125399999999</v>
      </c>
      <c r="D18" s="136"/>
      <c r="E18" s="73">
        <f>-('Input parameters'!C34+'Input parameters'!C35+'Input parameters'!C36+'Input parameters'!C37)</f>
        <v>0</v>
      </c>
      <c r="F18" s="133"/>
      <c r="H18" s="131" t="s">
        <v>132</v>
      </c>
      <c r="I18" s="181">
        <f>I17+K18</f>
        <v>61.876440000000002</v>
      </c>
      <c r="J18" s="136"/>
      <c r="K18" s="73">
        <f>-'Input parameters'!C34</f>
        <v>0</v>
      </c>
      <c r="L18" s="133"/>
      <c r="N18" s="131" t="s">
        <v>132</v>
      </c>
      <c r="O18" s="181">
        <f>O17+Q18</f>
        <v>59.901659999999993</v>
      </c>
      <c r="P18" s="136"/>
      <c r="Q18" s="73">
        <f>-'Input parameters'!C35</f>
        <v>0</v>
      </c>
      <c r="R18" s="133"/>
    </row>
    <row r="19" spans="2:18" x14ac:dyDescent="0.25">
      <c r="B19" s="131" t="s">
        <v>136</v>
      </c>
      <c r="C19" s="136">
        <f>C12*E19</f>
        <v>730.73874599999999</v>
      </c>
      <c r="D19" s="136"/>
      <c r="E19" s="120">
        <f>'Hobin Clasic'!C28</f>
        <v>0.75619999999999998</v>
      </c>
      <c r="F19" s="133"/>
      <c r="H19" s="131" t="s">
        <v>136</v>
      </c>
      <c r="I19" s="136">
        <f>I12*K19</f>
        <v>191.92356000000001</v>
      </c>
      <c r="J19" s="136"/>
      <c r="K19" s="120">
        <f>E19</f>
        <v>0.75619999999999998</v>
      </c>
      <c r="L19" s="133"/>
      <c r="N19" s="131" t="s">
        <v>136</v>
      </c>
      <c r="O19" s="136">
        <f>O12*Q19</f>
        <v>185.79834</v>
      </c>
      <c r="P19" s="136"/>
      <c r="Q19" s="120">
        <f>K19</f>
        <v>0.75619999999999998</v>
      </c>
      <c r="R19" s="133"/>
    </row>
    <row r="20" spans="2:18" x14ac:dyDescent="0.25">
      <c r="B20" s="131" t="s">
        <v>135</v>
      </c>
      <c r="C20" s="181">
        <f>C19+E20</f>
        <v>330.73874599999999</v>
      </c>
      <c r="D20" s="136"/>
      <c r="E20" s="73">
        <f>-SUM('Input parameters'!C40+'Input parameters'!C41+'Input parameters'!C42+'Input parameters'!C43)</f>
        <v>-400</v>
      </c>
      <c r="F20" s="182"/>
      <c r="H20" s="131" t="s">
        <v>135</v>
      </c>
      <c r="I20" s="181">
        <f>I19+K20</f>
        <v>91.923560000000009</v>
      </c>
      <c r="J20" s="136"/>
      <c r="K20" s="73">
        <f>-'Input parameters'!C40</f>
        <v>-100</v>
      </c>
      <c r="L20" s="182"/>
      <c r="N20" s="131" t="s">
        <v>135</v>
      </c>
      <c r="O20" s="181">
        <f>O19+Q20</f>
        <v>85.798339999999996</v>
      </c>
      <c r="P20" s="136"/>
      <c r="Q20" s="73">
        <f>-'Input parameters'!C41</f>
        <v>-100</v>
      </c>
      <c r="R20" s="182"/>
    </row>
    <row r="21" spans="2:18" x14ac:dyDescent="0.25">
      <c r="B21" s="131"/>
      <c r="D21" s="136"/>
      <c r="F21" s="133"/>
      <c r="H21" s="131"/>
      <c r="J21" s="136"/>
      <c r="L21" s="133"/>
      <c r="N21" s="131"/>
      <c r="P21" s="136"/>
      <c r="R21" s="133"/>
    </row>
    <row r="22" spans="2:18" ht="15.75" thickBot="1" x14ac:dyDescent="0.3">
      <c r="B22" s="183" t="s">
        <v>137</v>
      </c>
      <c r="C22" s="184">
        <f>D14-C18</f>
        <v>104.20674600000001</v>
      </c>
      <c r="D22" s="185" t="s">
        <v>138</v>
      </c>
      <c r="E22" s="184">
        <f>C22/'Hobin Clasic'!C12</f>
        <v>26.051686500000002</v>
      </c>
      <c r="F22" s="186" t="s">
        <v>36</v>
      </c>
      <c r="H22" s="147" t="s">
        <v>107</v>
      </c>
      <c r="I22" s="195">
        <f>J14-I18</f>
        <v>30.403559999999999</v>
      </c>
      <c r="J22" s="200"/>
      <c r="K22" s="195"/>
      <c r="L22" s="150"/>
      <c r="N22" s="147" t="s">
        <v>107</v>
      </c>
      <c r="O22" s="195">
        <f>P14-O18</f>
        <v>27.518339999999995</v>
      </c>
      <c r="P22" s="200"/>
      <c r="Q22" s="195"/>
      <c r="R22" s="150"/>
    </row>
    <row r="23" spans="2:18" ht="15.75" thickBot="1" x14ac:dyDescent="0.3"/>
    <row r="24" spans="2:18" ht="15.75" thickBot="1" x14ac:dyDescent="0.3">
      <c r="B24" s="101" t="s">
        <v>145</v>
      </c>
      <c r="C24" s="187"/>
      <c r="D24" s="187"/>
      <c r="E24" s="187"/>
      <c r="F24" s="129"/>
      <c r="H24" s="75" t="s">
        <v>139</v>
      </c>
      <c r="I24" s="201"/>
      <c r="J24" s="201"/>
      <c r="K24" s="201"/>
      <c r="L24" s="202"/>
      <c r="N24" s="75" t="s">
        <v>140</v>
      </c>
      <c r="O24" s="201"/>
      <c r="P24" s="201"/>
      <c r="Q24" s="201"/>
      <c r="R24" s="202"/>
    </row>
    <row r="25" spans="2:18" x14ac:dyDescent="0.25">
      <c r="B25" s="131" t="s">
        <v>192</v>
      </c>
      <c r="F25" s="133"/>
      <c r="H25" s="131" t="s">
        <v>27</v>
      </c>
      <c r="I25" s="136">
        <f>L25*C12/F12</f>
        <v>237.6</v>
      </c>
      <c r="J25" s="136"/>
      <c r="K25" s="164">
        <f>Tabel!Z18</f>
        <v>8.7999999999999995E-2</v>
      </c>
      <c r="L25" s="179">
        <f>'Uitgebreid verblijfsgeb+overst'!K25*'Hobin Clasic'!C33/2</f>
        <v>237.6</v>
      </c>
      <c r="N25" s="131" t="s">
        <v>27</v>
      </c>
      <c r="O25" s="136">
        <f>R25*C12/F12</f>
        <v>229.23000000000002</v>
      </c>
      <c r="P25" s="136"/>
      <c r="Q25" s="164">
        <f>Tabel!Z19</f>
        <v>8.4900000000000003E-2</v>
      </c>
      <c r="R25" s="179">
        <f>'Uitgebreid verblijfsgeb+overst'!Q25*'Hobin Clasic'!C33/2</f>
        <v>229.23000000000002</v>
      </c>
    </row>
    <row r="26" spans="2:18" x14ac:dyDescent="0.25">
      <c r="B26" s="131" t="s">
        <v>38</v>
      </c>
      <c r="C26" s="136">
        <f>C17</f>
        <v>235.59125399999999</v>
      </c>
      <c r="F26" s="182"/>
      <c r="H26" s="131" t="s">
        <v>28</v>
      </c>
      <c r="I26" s="136"/>
      <c r="J26" s="136">
        <f>I25-'Input parameters'!C36-'Input parameters'!C42</f>
        <v>137.6</v>
      </c>
      <c r="L26" s="133"/>
      <c r="N26" s="131" t="s">
        <v>28</v>
      </c>
      <c r="O26" s="136"/>
      <c r="P26" s="136">
        <f>O25-'Input parameters'!C37-'Input parameters'!C43</f>
        <v>129.23000000000002</v>
      </c>
      <c r="R26" s="133"/>
    </row>
    <row r="27" spans="2:18" x14ac:dyDescent="0.25">
      <c r="B27" s="131" t="s">
        <v>142</v>
      </c>
      <c r="C27" s="136">
        <f>E18</f>
        <v>0</v>
      </c>
      <c r="F27" s="182"/>
      <c r="H27" s="131" t="s">
        <v>130</v>
      </c>
      <c r="I27" s="136"/>
      <c r="J27" s="136">
        <f>K27*J26</f>
        <v>82.559999999999988</v>
      </c>
      <c r="K27" s="180">
        <f>K14</f>
        <v>0.6</v>
      </c>
      <c r="L27" s="133"/>
      <c r="N27" s="131" t="s">
        <v>130</v>
      </c>
      <c r="O27" s="136"/>
      <c r="P27" s="136">
        <f>Q27*P26</f>
        <v>77.538000000000011</v>
      </c>
      <c r="Q27" s="180">
        <f>K27</f>
        <v>0.6</v>
      </c>
      <c r="R27" s="133"/>
    </row>
    <row r="28" spans="2:18" x14ac:dyDescent="0.25">
      <c r="B28" s="131" t="s">
        <v>143</v>
      </c>
      <c r="C28" s="136">
        <f>C22</f>
        <v>104.20674600000001</v>
      </c>
      <c r="F28" s="182"/>
      <c r="H28" s="131" t="s">
        <v>129</v>
      </c>
      <c r="I28" s="136"/>
      <c r="J28" s="136">
        <f>J26*K28</f>
        <v>55.04</v>
      </c>
      <c r="K28" s="180">
        <f>K15</f>
        <v>0.4</v>
      </c>
      <c r="L28" s="133"/>
      <c r="N28" s="131" t="s">
        <v>129</v>
      </c>
      <c r="O28" s="136"/>
      <c r="P28" s="136">
        <f>P26*Q28</f>
        <v>51.692000000000007</v>
      </c>
      <c r="Q28" s="180">
        <f>K28</f>
        <v>0.4</v>
      </c>
      <c r="R28" s="133"/>
    </row>
    <row r="29" spans="2:18" x14ac:dyDescent="0.25">
      <c r="B29" s="131" t="s">
        <v>41</v>
      </c>
      <c r="C29" s="181">
        <f>SUM(C26:C28)</f>
        <v>339.798</v>
      </c>
      <c r="D29" s="72"/>
      <c r="F29" s="203"/>
      <c r="H29" s="131"/>
      <c r="I29" s="136"/>
      <c r="J29" s="136"/>
      <c r="L29" s="133"/>
      <c r="N29" s="131"/>
      <c r="O29" s="136"/>
      <c r="P29" s="136"/>
      <c r="R29" s="133"/>
    </row>
    <row r="30" spans="2:18" x14ac:dyDescent="0.25">
      <c r="B30" s="131" t="s">
        <v>39</v>
      </c>
      <c r="C30" s="151">
        <f>C29/D13</f>
        <v>0.6</v>
      </c>
      <c r="F30" s="204"/>
      <c r="H30" s="131" t="s">
        <v>131</v>
      </c>
      <c r="I30" s="136">
        <f>I25*K30</f>
        <v>57.926879999999997</v>
      </c>
      <c r="J30" s="136"/>
      <c r="K30" s="120">
        <f>K17</f>
        <v>0.24379999999999999</v>
      </c>
      <c r="L30" s="133"/>
      <c r="N30" s="131" t="s">
        <v>131</v>
      </c>
      <c r="O30" s="136">
        <f>O25*Q30</f>
        <v>55.886274</v>
      </c>
      <c r="P30" s="136"/>
      <c r="Q30" s="120">
        <f>K30</f>
        <v>0.24379999999999999</v>
      </c>
      <c r="R30" s="133"/>
    </row>
    <row r="31" spans="2:18" x14ac:dyDescent="0.25">
      <c r="B31" s="131"/>
      <c r="F31" s="133"/>
      <c r="H31" s="131" t="s">
        <v>132</v>
      </c>
      <c r="I31" s="181">
        <f>I30+K31</f>
        <v>57.926879999999997</v>
      </c>
      <c r="J31" s="136"/>
      <c r="K31" s="73">
        <f>-'Input parameters'!C36</f>
        <v>0</v>
      </c>
      <c r="L31" s="133"/>
      <c r="N31" s="131" t="s">
        <v>132</v>
      </c>
      <c r="O31" s="181">
        <f>O30+Q31</f>
        <v>55.886274</v>
      </c>
      <c r="P31" s="136"/>
      <c r="Q31" s="73">
        <f>-'Input parameters'!C37</f>
        <v>0</v>
      </c>
      <c r="R31" s="133"/>
    </row>
    <row r="32" spans="2:18" x14ac:dyDescent="0.25">
      <c r="B32" s="131" t="s">
        <v>193</v>
      </c>
      <c r="F32" s="133"/>
      <c r="H32" s="131" t="s">
        <v>136</v>
      </c>
      <c r="I32" s="136">
        <f>I25*K32</f>
        <v>179.67311999999998</v>
      </c>
      <c r="J32" s="136"/>
      <c r="K32" s="120">
        <f>K19</f>
        <v>0.75619999999999998</v>
      </c>
      <c r="L32" s="133"/>
      <c r="N32" s="131" t="s">
        <v>136</v>
      </c>
      <c r="O32" s="136">
        <f>O25*Q32</f>
        <v>173.343726</v>
      </c>
      <c r="P32" s="136"/>
      <c r="Q32" s="120">
        <f>K32</f>
        <v>0.75619999999999998</v>
      </c>
      <c r="R32" s="133"/>
    </row>
    <row r="33" spans="2:18" x14ac:dyDescent="0.25">
      <c r="B33" s="131" t="s">
        <v>40</v>
      </c>
      <c r="C33" s="136">
        <f>C19</f>
        <v>730.73874599999999</v>
      </c>
      <c r="F33" s="182"/>
      <c r="H33" s="131" t="s">
        <v>135</v>
      </c>
      <c r="I33" s="181">
        <f>I32+K33</f>
        <v>79.673119999999983</v>
      </c>
      <c r="J33" s="136"/>
      <c r="K33" s="73">
        <f>-'Input parameters'!C42</f>
        <v>-100</v>
      </c>
      <c r="L33" s="182"/>
      <c r="N33" s="131" t="s">
        <v>135</v>
      </c>
      <c r="O33" s="181">
        <f>O32+Q33</f>
        <v>73.343726000000004</v>
      </c>
      <c r="P33" s="136"/>
      <c r="Q33" s="73">
        <f>-'Input parameters'!C43</f>
        <v>-100</v>
      </c>
      <c r="R33" s="182"/>
    </row>
    <row r="34" spans="2:18" x14ac:dyDescent="0.25">
      <c r="B34" s="131" t="s">
        <v>144</v>
      </c>
      <c r="C34" s="136">
        <f>E20</f>
        <v>-400</v>
      </c>
      <c r="F34" s="182"/>
      <c r="H34" s="131"/>
      <c r="J34" s="136"/>
      <c r="L34" s="133"/>
      <c r="N34" s="131"/>
      <c r="P34" s="136"/>
      <c r="R34" s="133"/>
    </row>
    <row r="35" spans="2:18" x14ac:dyDescent="0.25">
      <c r="B35" s="131" t="s">
        <v>143</v>
      </c>
      <c r="C35" s="136">
        <f>-C28</f>
        <v>-104.20674600000001</v>
      </c>
      <c r="F35" s="182"/>
      <c r="H35" s="131" t="s">
        <v>107</v>
      </c>
      <c r="I35" s="181">
        <f>J27-I31</f>
        <v>24.633119999999991</v>
      </c>
      <c r="J35" s="136"/>
      <c r="K35" s="181"/>
      <c r="L35" s="133"/>
      <c r="N35" s="131" t="s">
        <v>107</v>
      </c>
      <c r="O35" s="181">
        <f>P27-O31</f>
        <v>21.651726000000011</v>
      </c>
      <c r="P35" s="136"/>
      <c r="Q35" s="181">
        <f>O35</f>
        <v>21.651726000000011</v>
      </c>
      <c r="R35" s="133"/>
    </row>
    <row r="36" spans="2:18" x14ac:dyDescent="0.25">
      <c r="B36" s="131" t="s">
        <v>41</v>
      </c>
      <c r="C36" s="181">
        <f>SUM(C33:C35)</f>
        <v>226.53199999999998</v>
      </c>
      <c r="F36" s="203"/>
      <c r="H36" s="131"/>
      <c r="I36" s="181"/>
      <c r="L36" s="203"/>
      <c r="N36" s="131"/>
      <c r="O36" s="181"/>
      <c r="R36" s="203"/>
    </row>
    <row r="37" spans="2:18" ht="15.75" thickBot="1" x14ac:dyDescent="0.3">
      <c r="B37" s="147" t="s">
        <v>39</v>
      </c>
      <c r="C37" s="205">
        <f>C36/D13</f>
        <v>0.39999999999999997</v>
      </c>
      <c r="D37" s="149"/>
      <c r="E37" s="149"/>
      <c r="F37" s="206"/>
      <c r="H37" s="147"/>
      <c r="I37" s="207"/>
      <c r="J37" s="149"/>
      <c r="K37" s="149"/>
      <c r="L37" s="206"/>
      <c r="N37" s="147"/>
      <c r="O37" s="207"/>
      <c r="P37" s="149"/>
      <c r="Q37" s="149"/>
      <c r="R37" s="206"/>
    </row>
    <row r="39" spans="2:18" ht="15.75" thickBot="1" x14ac:dyDescent="0.3"/>
    <row r="40" spans="2:18" ht="15.75" thickBot="1" x14ac:dyDescent="0.3">
      <c r="B40" s="197" t="s">
        <v>141</v>
      </c>
      <c r="C40" s="208"/>
      <c r="D40" s="209"/>
      <c r="E40" s="209"/>
      <c r="F40" s="210"/>
      <c r="I40" s="136"/>
      <c r="O40" s="136"/>
    </row>
    <row r="41" spans="2:18" x14ac:dyDescent="0.25">
      <c r="B41" s="131"/>
      <c r="F41" s="133"/>
    </row>
    <row r="42" spans="2:18" x14ac:dyDescent="0.25">
      <c r="B42" s="131" t="s">
        <v>27</v>
      </c>
      <c r="C42" s="136">
        <f>C12</f>
        <v>966.33</v>
      </c>
      <c r="F42" s="133"/>
    </row>
    <row r="43" spans="2:18" x14ac:dyDescent="0.25">
      <c r="B43" s="131" t="s">
        <v>53</v>
      </c>
      <c r="C43" s="136">
        <f>C42+E43</f>
        <v>966.33</v>
      </c>
      <c r="E43" s="73">
        <f>-'Input parameters'!C45</f>
        <v>0</v>
      </c>
      <c r="F43" s="133"/>
    </row>
    <row r="44" spans="2:18" x14ac:dyDescent="0.25">
      <c r="B44" s="131" t="s">
        <v>190</v>
      </c>
      <c r="C44" s="181">
        <f>C43*D44</f>
        <v>579.798</v>
      </c>
      <c r="D44" s="194">
        <f>E14</f>
        <v>0.6</v>
      </c>
      <c r="F44" s="133"/>
    </row>
    <row r="45" spans="2:18" ht="15.75" thickBot="1" x14ac:dyDescent="0.3">
      <c r="B45" s="147" t="s">
        <v>191</v>
      </c>
      <c r="C45" s="195">
        <f>C43*D45</f>
        <v>386.53200000000004</v>
      </c>
      <c r="D45" s="196">
        <f>E15</f>
        <v>0.4</v>
      </c>
      <c r="E45" s="149"/>
      <c r="F45" s="150"/>
    </row>
    <row r="47" spans="2:18" ht="15.75" thickBot="1" x14ac:dyDescent="0.3"/>
    <row r="48" spans="2:18" ht="15.75" thickBot="1" x14ac:dyDescent="0.3">
      <c r="B48" s="101" t="s">
        <v>146</v>
      </c>
      <c r="C48" s="187"/>
      <c r="D48" s="187"/>
      <c r="E48" s="187"/>
      <c r="F48" s="188"/>
    </row>
    <row r="49" spans="2:6" x14ac:dyDescent="0.25">
      <c r="B49" s="131"/>
      <c r="F49" s="133"/>
    </row>
    <row r="50" spans="2:6" x14ac:dyDescent="0.25">
      <c r="B50" s="131" t="s">
        <v>192</v>
      </c>
      <c r="F50" s="133"/>
    </row>
    <row r="51" spans="2:6" x14ac:dyDescent="0.25">
      <c r="B51" s="131" t="s">
        <v>38</v>
      </c>
      <c r="C51" s="136">
        <f>C26</f>
        <v>235.59125399999999</v>
      </c>
      <c r="F51" s="133"/>
    </row>
    <row r="52" spans="2:6" x14ac:dyDescent="0.25">
      <c r="B52" s="131" t="s">
        <v>142</v>
      </c>
      <c r="C52" s="136">
        <f>C27</f>
        <v>0</v>
      </c>
      <c r="F52" s="133"/>
    </row>
    <row r="53" spans="2:6" x14ac:dyDescent="0.25">
      <c r="B53" s="131" t="s">
        <v>143</v>
      </c>
      <c r="C53" s="136">
        <f>C28</f>
        <v>104.20674600000001</v>
      </c>
      <c r="F53" s="133"/>
    </row>
    <row r="54" spans="2:6" x14ac:dyDescent="0.25">
      <c r="B54" s="131" t="s">
        <v>148</v>
      </c>
      <c r="C54" s="136">
        <f>C44</f>
        <v>579.798</v>
      </c>
      <c r="F54" s="133"/>
    </row>
    <row r="55" spans="2:6" x14ac:dyDescent="0.25">
      <c r="B55" s="131"/>
      <c r="C55" s="181">
        <f>SUM(C51:C54)</f>
        <v>919.596</v>
      </c>
      <c r="F55" s="133"/>
    </row>
    <row r="56" spans="2:6" x14ac:dyDescent="0.25">
      <c r="B56" s="131" t="s">
        <v>149</v>
      </c>
      <c r="C56" s="151">
        <f>C55/(C43+D13)</f>
        <v>0.6</v>
      </c>
      <c r="F56" s="133"/>
    </row>
    <row r="57" spans="2:6" x14ac:dyDescent="0.25">
      <c r="B57" s="131"/>
      <c r="C57" s="151"/>
      <c r="F57" s="133"/>
    </row>
    <row r="58" spans="2:6" x14ac:dyDescent="0.25">
      <c r="B58" s="131" t="s">
        <v>193</v>
      </c>
      <c r="F58" s="133"/>
    </row>
    <row r="59" spans="2:6" x14ac:dyDescent="0.25">
      <c r="B59" s="131" t="s">
        <v>38</v>
      </c>
      <c r="C59" s="136">
        <f>C33</f>
        <v>730.73874599999999</v>
      </c>
      <c r="F59" s="133"/>
    </row>
    <row r="60" spans="2:6" x14ac:dyDescent="0.25">
      <c r="B60" s="131" t="s">
        <v>142</v>
      </c>
      <c r="C60" s="136">
        <f>C34</f>
        <v>-400</v>
      </c>
      <c r="F60" s="133"/>
    </row>
    <row r="61" spans="2:6" x14ac:dyDescent="0.25">
      <c r="B61" s="131" t="s">
        <v>143</v>
      </c>
      <c r="C61" s="136">
        <f>C35</f>
        <v>-104.20674600000001</v>
      </c>
      <c r="F61" s="133"/>
    </row>
    <row r="62" spans="2:6" x14ac:dyDescent="0.25">
      <c r="B62" s="131" t="s">
        <v>148</v>
      </c>
      <c r="C62" s="136">
        <f>C45</f>
        <v>386.53200000000004</v>
      </c>
      <c r="F62" s="133"/>
    </row>
    <row r="63" spans="2:6" x14ac:dyDescent="0.25">
      <c r="B63" s="131"/>
      <c r="C63" s="181">
        <f>SUM(C59:C62)</f>
        <v>613.06400000000008</v>
      </c>
      <c r="F63" s="133"/>
    </row>
    <row r="64" spans="2:6" ht="15.75" thickBot="1" x14ac:dyDescent="0.3">
      <c r="B64" s="147" t="s">
        <v>149</v>
      </c>
      <c r="C64" s="205">
        <f>C63/(C43+D13)</f>
        <v>0.4</v>
      </c>
      <c r="D64" s="149"/>
      <c r="E64" s="149"/>
      <c r="F64" s="150"/>
    </row>
  </sheetData>
  <sheetProtection algorithmName="SHA-512" hashValue="VwXa4qLcGBAOkq69/KTVoq56MRhbuCGXKEgnXDlCZEXtojMEhXWGtYeeqNYhw+oUfBvDpnBNZN2OsYmF1HpOxw==" saltValue="CTaAaqq8x/pu4SLT01m5DA==" spinCount="100000" sheet="1" objects="1" scenarios="1" selectLockedCells="1" selectUnlockedCells="1"/>
  <hyperlinks>
    <hyperlink ref="B7" r:id="rId1" display="http://www.advocaat-bemiddelaar.gent/" xr:uid="{D8CF5FAA-CCF5-4146-9615-76A88CF204F9}"/>
  </hyperlinks>
  <pageMargins left="0.7" right="0.7" top="0.75" bottom="0.75" header="0.3" footer="0.3"/>
  <pageSetup paperSize="9" scale="45" orientation="landscape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H25"/>
  <sheetViews>
    <sheetView showGridLines="0" workbookViewId="0">
      <selection activeCell="D19" sqref="D19"/>
    </sheetView>
  </sheetViews>
  <sheetFormatPr defaultColWidth="8.85546875" defaultRowHeight="15" x14ac:dyDescent="0.25"/>
  <cols>
    <col min="1" max="1" width="29.85546875" style="73" bestFit="1" customWidth="1"/>
    <col min="2" max="2" width="8.85546875" style="73"/>
    <col min="3" max="3" width="14.42578125" style="73" bestFit="1" customWidth="1"/>
    <col min="4" max="5" width="13.28515625" style="73" bestFit="1" customWidth="1"/>
    <col min="6" max="16384" width="8.85546875" style="73"/>
  </cols>
  <sheetData>
    <row r="1" spans="1:8" ht="15.75" thickBot="1" x14ac:dyDescent="0.3">
      <c r="A1" s="211" t="s">
        <v>72</v>
      </c>
      <c r="B1" s="212"/>
      <c r="C1" s="212"/>
      <c r="D1" s="212"/>
      <c r="E1" s="213"/>
    </row>
    <row r="2" spans="1:8" x14ac:dyDescent="0.25">
      <c r="A2" s="214"/>
      <c r="B2" s="215"/>
      <c r="C2" s="215" t="s">
        <v>73</v>
      </c>
      <c r="D2" s="215" t="s">
        <v>73</v>
      </c>
      <c r="E2" s="216" t="s">
        <v>73</v>
      </c>
    </row>
    <row r="3" spans="1:8" ht="15.75" thickBot="1" x14ac:dyDescent="0.3">
      <c r="A3" s="217"/>
      <c r="B3" s="218"/>
      <c r="C3" s="218" t="s">
        <v>74</v>
      </c>
      <c r="D3" s="218" t="s">
        <v>170</v>
      </c>
      <c r="E3" s="219" t="s">
        <v>171</v>
      </c>
    </row>
    <row r="4" spans="1:8" x14ac:dyDescent="0.25">
      <c r="A4" s="131"/>
      <c r="D4" s="220" t="s">
        <v>75</v>
      </c>
      <c r="E4" s="221" t="s">
        <v>75</v>
      </c>
    </row>
    <row r="5" spans="1:8" x14ac:dyDescent="0.25">
      <c r="A5" s="131" t="s">
        <v>76</v>
      </c>
      <c r="E5" s="133"/>
    </row>
    <row r="6" spans="1:8" x14ac:dyDescent="0.25">
      <c r="A6" s="131" t="s">
        <v>77</v>
      </c>
      <c r="C6" s="222"/>
      <c r="D6" s="223">
        <v>54</v>
      </c>
      <c r="E6" s="224">
        <v>8</v>
      </c>
    </row>
    <row r="7" spans="1:8" x14ac:dyDescent="0.25">
      <c r="A7" s="131"/>
      <c r="C7" s="222"/>
      <c r="D7" s="225"/>
      <c r="E7" s="226"/>
      <c r="H7" s="225"/>
    </row>
    <row r="8" spans="1:8" x14ac:dyDescent="0.25">
      <c r="A8" s="131" t="s">
        <v>78</v>
      </c>
      <c r="C8" s="222"/>
      <c r="D8" s="223">
        <v>12</v>
      </c>
      <c r="E8" s="224">
        <v>2</v>
      </c>
    </row>
    <row r="9" spans="1:8" x14ac:dyDescent="0.25">
      <c r="A9" s="131"/>
      <c r="C9" s="222"/>
      <c r="D9" s="225"/>
      <c r="E9" s="226"/>
    </row>
    <row r="10" spans="1:8" x14ac:dyDescent="0.25">
      <c r="A10" s="131" t="s">
        <v>79</v>
      </c>
      <c r="C10" s="222"/>
      <c r="D10" s="223">
        <v>12</v>
      </c>
      <c r="E10" s="224">
        <v>2</v>
      </c>
    </row>
    <row r="11" spans="1:8" x14ac:dyDescent="0.25">
      <c r="A11" s="131"/>
      <c r="C11" s="222"/>
      <c r="D11" s="225"/>
      <c r="E11" s="226"/>
    </row>
    <row r="12" spans="1:8" x14ac:dyDescent="0.25">
      <c r="A12" s="131" t="s">
        <v>80</v>
      </c>
      <c r="C12" s="222"/>
      <c r="D12" s="223">
        <v>5</v>
      </c>
      <c r="E12" s="224">
        <v>2</v>
      </c>
    </row>
    <row r="13" spans="1:8" x14ac:dyDescent="0.25">
      <c r="A13" s="131"/>
      <c r="C13" s="222"/>
      <c r="D13" s="225"/>
      <c r="E13" s="226"/>
    </row>
    <row r="14" spans="1:8" x14ac:dyDescent="0.25">
      <c r="A14" s="131" t="s">
        <v>81</v>
      </c>
      <c r="C14" s="222"/>
      <c r="D14" s="223">
        <v>6</v>
      </c>
      <c r="E14" s="224">
        <v>1</v>
      </c>
    </row>
    <row r="15" spans="1:8" x14ac:dyDescent="0.25">
      <c r="A15" s="131"/>
      <c r="C15" s="222"/>
      <c r="D15" s="227"/>
      <c r="E15" s="228"/>
    </row>
    <row r="16" spans="1:8" x14ac:dyDescent="0.25">
      <c r="A16" s="229" t="s">
        <v>82</v>
      </c>
      <c r="B16" s="230"/>
      <c r="C16" s="231"/>
      <c r="D16" s="232">
        <f>SUM(D6:D14)</f>
        <v>89</v>
      </c>
      <c r="E16" s="233">
        <f>SUM(E6:E14)</f>
        <v>15</v>
      </c>
    </row>
    <row r="17" spans="1:5" x14ac:dyDescent="0.25">
      <c r="A17" s="131"/>
      <c r="C17" s="222"/>
      <c r="D17" s="227"/>
      <c r="E17" s="228"/>
    </row>
    <row r="18" spans="1:5" x14ac:dyDescent="0.25">
      <c r="A18" s="131" t="s">
        <v>83</v>
      </c>
      <c r="C18" s="227">
        <f>365-D16-E16</f>
        <v>261</v>
      </c>
      <c r="D18" s="234" t="s">
        <v>84</v>
      </c>
      <c r="E18" s="235" t="s">
        <v>84</v>
      </c>
    </row>
    <row r="19" spans="1:5" x14ac:dyDescent="0.25">
      <c r="A19" s="131"/>
      <c r="C19" s="222"/>
      <c r="D19" s="223">
        <v>10</v>
      </c>
      <c r="E19" s="224">
        <v>4</v>
      </c>
    </row>
    <row r="20" spans="1:5" x14ac:dyDescent="0.25">
      <c r="A20" s="131"/>
      <c r="C20" s="222"/>
      <c r="D20" s="222"/>
      <c r="E20" s="236"/>
    </row>
    <row r="21" spans="1:5" x14ac:dyDescent="0.25">
      <c r="A21" s="131" t="s">
        <v>85</v>
      </c>
      <c r="C21" s="222"/>
      <c r="D21" s="232">
        <f>C18*D19/14</f>
        <v>186.42857142857142</v>
      </c>
      <c r="E21" s="233">
        <f>C18*E19/14</f>
        <v>74.571428571428569</v>
      </c>
    </row>
    <row r="22" spans="1:5" ht="15.75" thickBot="1" x14ac:dyDescent="0.3">
      <c r="A22" s="131"/>
      <c r="C22" s="222"/>
      <c r="D22" s="227"/>
      <c r="E22" s="228"/>
    </row>
    <row r="23" spans="1:5" x14ac:dyDescent="0.25">
      <c r="A23" s="214" t="s">
        <v>49</v>
      </c>
      <c r="B23" s="215"/>
      <c r="C23" s="237">
        <f>SUM(D23:E23)</f>
        <v>365</v>
      </c>
      <c r="D23" s="238">
        <f>D21+D14+D12+D10+D8+D6</f>
        <v>275.42857142857144</v>
      </c>
      <c r="E23" s="239">
        <f>E21+E14+E12+E10+E8+E6</f>
        <v>89.571428571428569</v>
      </c>
    </row>
    <row r="24" spans="1:5" ht="15.75" thickBot="1" x14ac:dyDescent="0.3">
      <c r="A24" s="217"/>
      <c r="B24" s="218"/>
      <c r="C24" s="218"/>
      <c r="D24" s="218"/>
      <c r="E24" s="219"/>
    </row>
    <row r="25" spans="1:5" ht="15.75" thickBot="1" x14ac:dyDescent="0.3">
      <c r="A25" s="217" t="s">
        <v>86</v>
      </c>
      <c r="B25" s="218"/>
      <c r="C25" s="240">
        <f>D25+E25</f>
        <v>1</v>
      </c>
      <c r="D25" s="241">
        <f>D23/C23</f>
        <v>0.75459882583170257</v>
      </c>
      <c r="E25" s="242">
        <f>E23/C23</f>
        <v>0.24540117416829746</v>
      </c>
    </row>
  </sheetData>
  <sheetProtection algorithmName="SHA-512" hashValue="Q6H8yGyVWvkFpDar2M5fYleCa96dMLUrEQorkILtImOlbh2h2criJbLr6Igp2SHCcoPnKBZ6wVWfp3wz7OJD9w==" saltValue="EDUOp7QSSl9xS737lFYA/w==" spinCount="100000" sheet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AA36"/>
  <sheetViews>
    <sheetView showGridLines="0" workbookViewId="0">
      <selection activeCell="AA20" sqref="AA20"/>
    </sheetView>
  </sheetViews>
  <sheetFormatPr defaultColWidth="8.85546875" defaultRowHeight="15" x14ac:dyDescent="0.25"/>
  <cols>
    <col min="1" max="1" width="3" customWidth="1"/>
    <col min="2" max="2" width="10" customWidth="1"/>
    <col min="21" max="21" width="2.85546875" customWidth="1"/>
    <col min="23" max="25" width="0" hidden="1" customWidth="1"/>
    <col min="26" max="26" width="10.42578125" bestFit="1" customWidth="1"/>
    <col min="27" max="27" width="9.5703125" bestFit="1" customWidth="1"/>
  </cols>
  <sheetData>
    <row r="1" spans="1:27" ht="15.75" thickBot="1" x14ac:dyDescent="0.3">
      <c r="B1" s="15">
        <v>1</v>
      </c>
      <c r="C1" s="15">
        <v>2</v>
      </c>
      <c r="D1" s="15">
        <v>3</v>
      </c>
      <c r="E1" s="15">
        <v>4</v>
      </c>
      <c r="F1" s="15">
        <v>5</v>
      </c>
      <c r="G1" s="15">
        <v>6</v>
      </c>
      <c r="H1" s="15">
        <v>7</v>
      </c>
      <c r="I1" s="15">
        <v>8</v>
      </c>
      <c r="J1" s="15">
        <v>9</v>
      </c>
      <c r="K1" s="15">
        <v>10</v>
      </c>
      <c r="L1" s="15">
        <v>11</v>
      </c>
      <c r="M1" s="15">
        <v>12</v>
      </c>
      <c r="N1" s="15">
        <v>13</v>
      </c>
      <c r="O1" s="15">
        <v>14</v>
      </c>
      <c r="P1" s="15">
        <v>15</v>
      </c>
      <c r="Q1" s="15">
        <v>16</v>
      </c>
      <c r="R1" s="15">
        <v>17</v>
      </c>
    </row>
    <row r="2" spans="1:27" ht="15.75" thickBot="1" x14ac:dyDescent="0.3">
      <c r="C2" s="253" t="s">
        <v>87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/>
    </row>
    <row r="3" spans="1:27" x14ac:dyDescent="0.25">
      <c r="B3" s="16" t="s">
        <v>88</v>
      </c>
      <c r="C3" s="17">
        <v>4</v>
      </c>
      <c r="D3" s="18">
        <v>3</v>
      </c>
      <c r="E3" s="19">
        <v>2</v>
      </c>
      <c r="F3" s="20">
        <v>1</v>
      </c>
      <c r="G3" s="17">
        <v>4</v>
      </c>
      <c r="H3" s="18">
        <v>3</v>
      </c>
      <c r="I3" s="19">
        <v>2</v>
      </c>
      <c r="J3" s="20">
        <v>1</v>
      </c>
      <c r="K3" s="17">
        <v>4</v>
      </c>
      <c r="L3" s="18">
        <v>3</v>
      </c>
      <c r="M3" s="19">
        <v>2</v>
      </c>
      <c r="N3" s="20">
        <v>1</v>
      </c>
      <c r="O3" s="17">
        <v>4</v>
      </c>
      <c r="P3" s="18">
        <v>3</v>
      </c>
      <c r="Q3" s="19">
        <v>2</v>
      </c>
      <c r="R3" s="20">
        <v>1</v>
      </c>
    </row>
    <row r="4" spans="1:27" x14ac:dyDescent="0.25">
      <c r="B4" s="21" t="s">
        <v>89</v>
      </c>
      <c r="C4" s="22">
        <v>1</v>
      </c>
      <c r="D4" s="23">
        <v>1</v>
      </c>
      <c r="E4" s="23">
        <v>1</v>
      </c>
      <c r="F4" s="24">
        <v>1</v>
      </c>
      <c r="G4" s="22">
        <v>2</v>
      </c>
      <c r="H4" s="23">
        <v>2</v>
      </c>
      <c r="I4" s="23">
        <v>2</v>
      </c>
      <c r="J4" s="24">
        <v>2</v>
      </c>
      <c r="K4" s="22">
        <v>3</v>
      </c>
      <c r="L4" s="23">
        <v>3</v>
      </c>
      <c r="M4" s="23">
        <v>3</v>
      </c>
      <c r="N4" s="24">
        <v>3</v>
      </c>
      <c r="O4" s="22">
        <v>4</v>
      </c>
      <c r="P4" s="23">
        <v>4</v>
      </c>
      <c r="Q4" s="23">
        <v>4</v>
      </c>
      <c r="R4" s="24">
        <v>4</v>
      </c>
    </row>
    <row r="5" spans="1:27" x14ac:dyDescent="0.25">
      <c r="A5" s="15">
        <v>1</v>
      </c>
      <c r="B5" s="25">
        <v>99</v>
      </c>
      <c r="C5" s="26">
        <f>C3*10+C4</f>
        <v>41</v>
      </c>
      <c r="D5" s="26">
        <f t="shared" ref="D5:R5" si="0">D3*10+D4</f>
        <v>31</v>
      </c>
      <c r="E5" s="26">
        <f t="shared" si="0"/>
        <v>21</v>
      </c>
      <c r="F5" s="26">
        <f t="shared" si="0"/>
        <v>11</v>
      </c>
      <c r="G5" s="26">
        <f t="shared" si="0"/>
        <v>42</v>
      </c>
      <c r="H5" s="26">
        <f t="shared" si="0"/>
        <v>32</v>
      </c>
      <c r="I5" s="26">
        <f t="shared" si="0"/>
        <v>22</v>
      </c>
      <c r="J5" s="26">
        <f t="shared" si="0"/>
        <v>12</v>
      </c>
      <c r="K5" s="26">
        <f t="shared" si="0"/>
        <v>43</v>
      </c>
      <c r="L5" s="26">
        <f t="shared" si="0"/>
        <v>33</v>
      </c>
      <c r="M5" s="26">
        <f t="shared" si="0"/>
        <v>23</v>
      </c>
      <c r="N5" s="26">
        <f t="shared" si="0"/>
        <v>13</v>
      </c>
      <c r="O5" s="26">
        <f t="shared" si="0"/>
        <v>44</v>
      </c>
      <c r="P5" s="26">
        <f t="shared" si="0"/>
        <v>34</v>
      </c>
      <c r="Q5" s="26">
        <f t="shared" si="0"/>
        <v>24</v>
      </c>
      <c r="R5" s="26">
        <f t="shared" si="0"/>
        <v>14</v>
      </c>
    </row>
    <row r="6" spans="1:27" x14ac:dyDescent="0.25">
      <c r="A6" s="15">
        <v>2</v>
      </c>
      <c r="B6" s="27" t="s">
        <v>90</v>
      </c>
      <c r="C6" s="250">
        <v>0.152</v>
      </c>
      <c r="D6" s="28">
        <f>C6+0.002</f>
        <v>0.154</v>
      </c>
      <c r="E6" s="29">
        <f t="shared" ref="E6:F6" si="1">D6-0.002</f>
        <v>0.152</v>
      </c>
      <c r="F6" s="30">
        <f t="shared" si="1"/>
        <v>0.15</v>
      </c>
      <c r="G6" s="250">
        <v>0.1205</v>
      </c>
      <c r="H6" s="28">
        <f>G6+0.002</f>
        <v>0.1225</v>
      </c>
      <c r="I6" s="29">
        <f t="shared" ref="I6:J6" si="2">H6-0.002</f>
        <v>0.1205</v>
      </c>
      <c r="J6" s="30">
        <f t="shared" si="2"/>
        <v>0.11849999999999999</v>
      </c>
      <c r="K6" s="250">
        <v>9.8000000000000004E-2</v>
      </c>
      <c r="L6" s="28">
        <f>K6+0.002</f>
        <v>0.1</v>
      </c>
      <c r="M6" s="29">
        <f t="shared" ref="M6:N6" si="3">L6-0.002</f>
        <v>9.8000000000000004E-2</v>
      </c>
      <c r="N6" s="30">
        <f t="shared" si="3"/>
        <v>9.6000000000000002E-2</v>
      </c>
      <c r="O6" s="250">
        <v>8.8999999999999996E-2</v>
      </c>
      <c r="P6" s="28">
        <f>O6+0.002</f>
        <v>9.0999999999999998E-2</v>
      </c>
      <c r="Q6" s="29">
        <f t="shared" ref="Q6:R6" si="4">P6-0.002</f>
        <v>8.8999999999999996E-2</v>
      </c>
      <c r="R6" s="30">
        <f t="shared" si="4"/>
        <v>8.6999999999999994E-2</v>
      </c>
    </row>
    <row r="7" spans="1:27" x14ac:dyDescent="0.25">
      <c r="A7" s="15">
        <v>3</v>
      </c>
      <c r="B7" s="31">
        <v>0</v>
      </c>
      <c r="C7" s="250">
        <v>0.1343</v>
      </c>
      <c r="D7" s="28">
        <v>0.1361</v>
      </c>
      <c r="E7" s="29">
        <v>0.1343</v>
      </c>
      <c r="F7" s="30">
        <v>0.13250000000000001</v>
      </c>
      <c r="G7" s="250">
        <v>0.1065</v>
      </c>
      <c r="H7" s="28">
        <v>0.1082</v>
      </c>
      <c r="I7" s="29">
        <v>0.1065</v>
      </c>
      <c r="J7" s="30">
        <v>0.1047</v>
      </c>
      <c r="K7" s="250">
        <v>8.6599999999999996E-2</v>
      </c>
      <c r="L7" s="28">
        <v>8.8300000000000003E-2</v>
      </c>
      <c r="M7" s="29">
        <v>8.6599999999999996E-2</v>
      </c>
      <c r="N7" s="30">
        <v>8.48E-2</v>
      </c>
      <c r="O7" s="250">
        <v>7.8600000000000003E-2</v>
      </c>
      <c r="P7" s="28">
        <v>8.0399999999999999E-2</v>
      </c>
      <c r="Q7" s="29">
        <v>7.8600000000000003E-2</v>
      </c>
      <c r="R7" s="30">
        <v>7.6899999999999996E-2</v>
      </c>
    </row>
    <row r="8" spans="1:27" x14ac:dyDescent="0.25">
      <c r="A8" s="15">
        <v>4</v>
      </c>
      <c r="B8" s="31">
        <v>1</v>
      </c>
      <c r="C8" s="250">
        <v>0.1343</v>
      </c>
      <c r="D8" s="28">
        <f t="shared" ref="D8:D12" si="5">C8-0.0017</f>
        <v>0.1326</v>
      </c>
      <c r="E8" s="29">
        <v>0.1343</v>
      </c>
      <c r="F8" s="30">
        <v>0.13250000000000001</v>
      </c>
      <c r="G8" s="250">
        <v>0.1065</v>
      </c>
      <c r="H8" s="28">
        <v>0.1082</v>
      </c>
      <c r="I8" s="29">
        <v>0.1065</v>
      </c>
      <c r="J8" s="30">
        <v>0.1047</v>
      </c>
      <c r="K8" s="250">
        <v>8.6599999999999996E-2</v>
      </c>
      <c r="L8" s="28">
        <v>8.8300000000000003E-2</v>
      </c>
      <c r="M8" s="29">
        <v>8.6599999999999996E-2</v>
      </c>
      <c r="N8" s="30">
        <v>8.48E-2</v>
      </c>
      <c r="O8" s="250">
        <v>7.8600000000000003E-2</v>
      </c>
      <c r="P8" s="28">
        <v>8.0399999999999999E-2</v>
      </c>
      <c r="Q8" s="29">
        <v>7.8600000000000003E-2</v>
      </c>
      <c r="R8" s="30">
        <v>7.6899999999999996E-2</v>
      </c>
    </row>
    <row r="9" spans="1:27" x14ac:dyDescent="0.25">
      <c r="A9" s="15">
        <v>5</v>
      </c>
      <c r="B9" s="31">
        <v>2</v>
      </c>
      <c r="C9" s="250">
        <v>0.1343</v>
      </c>
      <c r="D9" s="28">
        <f t="shared" si="5"/>
        <v>0.1326</v>
      </c>
      <c r="E9" s="29">
        <v>0.1343</v>
      </c>
      <c r="F9" s="30">
        <v>0.13250000000000001</v>
      </c>
      <c r="G9" s="250">
        <v>0.1065</v>
      </c>
      <c r="H9" s="28">
        <v>0.1082</v>
      </c>
      <c r="I9" s="29">
        <v>0.1065</v>
      </c>
      <c r="J9" s="30">
        <v>0.1047</v>
      </c>
      <c r="K9" s="250">
        <v>8.6599999999999996E-2</v>
      </c>
      <c r="L9" s="28">
        <v>8.8300000000000003E-2</v>
      </c>
      <c r="M9" s="29">
        <v>8.6599999999999996E-2</v>
      </c>
      <c r="N9" s="30">
        <v>8.48E-2</v>
      </c>
      <c r="O9" s="250">
        <v>7.8600000000000003E-2</v>
      </c>
      <c r="P9" s="28">
        <v>8.0399999999999999E-2</v>
      </c>
      <c r="Q9" s="29">
        <v>7.8600000000000003E-2</v>
      </c>
      <c r="R9" s="30">
        <v>7.6899999999999996E-2</v>
      </c>
    </row>
    <row r="10" spans="1:27" x14ac:dyDescent="0.25">
      <c r="A10" s="15">
        <v>6</v>
      </c>
      <c r="B10" s="31">
        <v>3</v>
      </c>
      <c r="C10" s="250">
        <v>0.1343</v>
      </c>
      <c r="D10" s="28">
        <f t="shared" si="5"/>
        <v>0.1326</v>
      </c>
      <c r="E10" s="29">
        <v>0.1343</v>
      </c>
      <c r="F10" s="30">
        <v>0.13250000000000001</v>
      </c>
      <c r="G10" s="250">
        <v>0.1065</v>
      </c>
      <c r="H10" s="28">
        <v>0.1082</v>
      </c>
      <c r="I10" s="29">
        <v>0.1065</v>
      </c>
      <c r="J10" s="30">
        <v>0.1047</v>
      </c>
      <c r="K10" s="250">
        <v>8.6599999999999996E-2</v>
      </c>
      <c r="L10" s="28">
        <v>8.8300000000000003E-2</v>
      </c>
      <c r="M10" s="29">
        <v>8.6599999999999996E-2</v>
      </c>
      <c r="N10" s="30">
        <v>8.48E-2</v>
      </c>
      <c r="O10" s="250">
        <v>7.8600000000000003E-2</v>
      </c>
      <c r="P10" s="28">
        <v>8.0399999999999999E-2</v>
      </c>
      <c r="Q10" s="29">
        <v>7.8600000000000003E-2</v>
      </c>
      <c r="R10" s="30">
        <v>7.6899999999999996E-2</v>
      </c>
    </row>
    <row r="11" spans="1:27" x14ac:dyDescent="0.25">
      <c r="A11" s="15">
        <v>7</v>
      </c>
      <c r="B11" s="31">
        <v>4</v>
      </c>
      <c r="C11" s="250">
        <v>0.1343</v>
      </c>
      <c r="D11" s="28">
        <f t="shared" si="5"/>
        <v>0.1326</v>
      </c>
      <c r="E11" s="29">
        <v>0.1343</v>
      </c>
      <c r="F11" s="30">
        <v>0.13250000000000001</v>
      </c>
      <c r="G11" s="250">
        <v>0.1065</v>
      </c>
      <c r="H11" s="28">
        <v>0.1082</v>
      </c>
      <c r="I11" s="29">
        <v>0.1065</v>
      </c>
      <c r="J11" s="30">
        <v>0.1047</v>
      </c>
      <c r="K11" s="250">
        <v>8.6599999999999996E-2</v>
      </c>
      <c r="L11" s="28">
        <v>8.8300000000000003E-2</v>
      </c>
      <c r="M11" s="29">
        <v>8.6599999999999996E-2</v>
      </c>
      <c r="N11" s="30">
        <v>8.48E-2</v>
      </c>
      <c r="O11" s="250">
        <v>7.8600000000000003E-2</v>
      </c>
      <c r="P11" s="28">
        <v>8.0399999999999999E-2</v>
      </c>
      <c r="Q11" s="29">
        <v>7.8600000000000003E-2</v>
      </c>
      <c r="R11" s="30">
        <v>7.6899999999999996E-2</v>
      </c>
    </row>
    <row r="12" spans="1:27" x14ac:dyDescent="0.25">
      <c r="A12" s="15">
        <v>8</v>
      </c>
      <c r="B12" s="31">
        <v>5</v>
      </c>
      <c r="C12" s="250">
        <v>0.1343</v>
      </c>
      <c r="D12" s="28">
        <f t="shared" si="5"/>
        <v>0.1326</v>
      </c>
      <c r="E12" s="29">
        <v>0.1343</v>
      </c>
      <c r="F12" s="30">
        <v>0.13250000000000001</v>
      </c>
      <c r="G12" s="250">
        <v>0.1065</v>
      </c>
      <c r="H12" s="28">
        <v>0.1082</v>
      </c>
      <c r="I12" s="29">
        <v>0.1065</v>
      </c>
      <c r="J12" s="30">
        <v>0.1047</v>
      </c>
      <c r="K12" s="250">
        <v>8.6599999999999996E-2</v>
      </c>
      <c r="L12" s="28">
        <v>8.8300000000000003E-2</v>
      </c>
      <c r="M12" s="29">
        <v>8.6599999999999996E-2</v>
      </c>
      <c r="N12" s="30">
        <v>8.48E-2</v>
      </c>
      <c r="O12" s="250">
        <v>7.8600000000000003E-2</v>
      </c>
      <c r="P12" s="28">
        <v>8.0399999999999999E-2</v>
      </c>
      <c r="Q12" s="29">
        <v>7.8600000000000003E-2</v>
      </c>
      <c r="R12" s="30">
        <v>7.6899999999999996E-2</v>
      </c>
    </row>
    <row r="13" spans="1:27" x14ac:dyDescent="0.25">
      <c r="A13" s="15">
        <v>9</v>
      </c>
      <c r="B13" s="31">
        <v>6</v>
      </c>
      <c r="C13" s="250">
        <v>0.1368</v>
      </c>
      <c r="D13" s="28">
        <v>0.1386</v>
      </c>
      <c r="E13" s="29">
        <v>0.1368</v>
      </c>
      <c r="F13" s="30">
        <f>F12+0.0025</f>
        <v>0.13500000000000001</v>
      </c>
      <c r="G13" s="250">
        <f t="shared" ref="G13:J28" si="6">G12+0.002</f>
        <v>0.1085</v>
      </c>
      <c r="H13" s="28">
        <v>0.1103</v>
      </c>
      <c r="I13" s="29">
        <f t="shared" si="6"/>
        <v>0.1085</v>
      </c>
      <c r="J13" s="30">
        <f>J12+0.002</f>
        <v>0.1067</v>
      </c>
      <c r="K13" s="250">
        <f>K12+0.0016</f>
        <v>8.8200000000000001E-2</v>
      </c>
      <c r="L13" s="28">
        <f t="shared" ref="L13:L29" si="7">L12+0.0017</f>
        <v>0.09</v>
      </c>
      <c r="M13" s="29">
        <f>M12+0.0016</f>
        <v>8.8200000000000001E-2</v>
      </c>
      <c r="N13" s="30">
        <f>N12+0.0016</f>
        <v>8.6400000000000005E-2</v>
      </c>
      <c r="O13" s="250">
        <f>O12+0.0015</f>
        <v>8.0100000000000005E-2</v>
      </c>
      <c r="P13" s="28">
        <f>P12+0.0015</f>
        <v>8.1900000000000001E-2</v>
      </c>
      <c r="Q13" s="29">
        <f>Q12+0.0015</f>
        <v>8.0100000000000005E-2</v>
      </c>
      <c r="R13" s="30">
        <v>7.8299999999999995E-2</v>
      </c>
      <c r="T13" s="32" t="s">
        <v>88</v>
      </c>
      <c r="U13" s="32"/>
      <c r="V13" s="8">
        <f>IF(Z13&gt;6000,4,IF(AND(Z13&gt;=4501,Z13&lt;=6000),3,IF(AND(Z13&gt;=2001,Z13&lt;=4500),2,1)))</f>
        <v>3</v>
      </c>
      <c r="Z13" s="45">
        <f>'Hobin Clasic'!$C$33</f>
        <v>5400</v>
      </c>
      <c r="AA13" s="15" t="s">
        <v>91</v>
      </c>
    </row>
    <row r="14" spans="1:27" x14ac:dyDescent="0.25">
      <c r="A14" s="15">
        <v>10</v>
      </c>
      <c r="B14" s="31">
        <v>7</v>
      </c>
      <c r="C14" s="250">
        <v>0.13930000000000001</v>
      </c>
      <c r="D14" s="28">
        <v>0.14119999999999999</v>
      </c>
      <c r="E14" s="29">
        <v>0.13930000000000001</v>
      </c>
      <c r="F14" s="30">
        <f t="shared" ref="F14:F31" si="8">F13+0.0025</f>
        <v>0.13750000000000001</v>
      </c>
      <c r="G14" s="250">
        <f t="shared" si="6"/>
        <v>0.1105</v>
      </c>
      <c r="H14" s="28">
        <v>0.1123</v>
      </c>
      <c r="I14" s="29">
        <f t="shared" si="6"/>
        <v>0.1105</v>
      </c>
      <c r="J14" s="30">
        <v>0.1086</v>
      </c>
      <c r="K14" s="250">
        <f t="shared" ref="K14" si="9">K13+0.0016</f>
        <v>8.9800000000000005E-2</v>
      </c>
      <c r="L14" s="28">
        <f t="shared" si="7"/>
        <v>9.169999999999999E-2</v>
      </c>
      <c r="M14" s="29">
        <f t="shared" ref="M14:N29" si="10">M13+0.0016</f>
        <v>8.9800000000000005E-2</v>
      </c>
      <c r="N14" s="30">
        <f t="shared" si="10"/>
        <v>8.8000000000000009E-2</v>
      </c>
      <c r="O14" s="250">
        <f t="shared" ref="O14:R29" si="11">O13+0.0015</f>
        <v>8.1600000000000006E-2</v>
      </c>
      <c r="P14" s="28">
        <f t="shared" si="11"/>
        <v>8.3400000000000002E-2</v>
      </c>
      <c r="Q14" s="29">
        <f t="shared" si="11"/>
        <v>8.1600000000000006E-2</v>
      </c>
      <c r="R14" s="30">
        <v>7.9699999999999993E-2</v>
      </c>
      <c r="T14" s="32" t="s">
        <v>92</v>
      </c>
      <c r="U14" s="32"/>
      <c r="V14" s="33">
        <f>COUNTIF($V$16:$V$19,"&gt;0")</f>
        <v>4</v>
      </c>
    </row>
    <row r="15" spans="1:27" x14ac:dyDescent="0.25">
      <c r="A15" s="15">
        <v>11</v>
      </c>
      <c r="B15" s="31">
        <v>8</v>
      </c>
      <c r="C15" s="250">
        <v>0.1419</v>
      </c>
      <c r="D15" s="28">
        <v>0.14369999999999999</v>
      </c>
      <c r="E15" s="29">
        <v>0.1419</v>
      </c>
      <c r="F15" s="30">
        <f t="shared" si="8"/>
        <v>0.14000000000000001</v>
      </c>
      <c r="G15" s="250">
        <f t="shared" si="6"/>
        <v>0.1125</v>
      </c>
      <c r="H15" s="28">
        <v>0.1143</v>
      </c>
      <c r="I15" s="29">
        <f t="shared" si="6"/>
        <v>0.1125</v>
      </c>
      <c r="J15" s="30">
        <f t="shared" si="6"/>
        <v>0.1106</v>
      </c>
      <c r="K15" s="250">
        <v>9.1499999999999998E-2</v>
      </c>
      <c r="L15" s="28">
        <v>9.3299999999999994E-2</v>
      </c>
      <c r="M15" s="29">
        <v>9.1499999999999998E-2</v>
      </c>
      <c r="N15" s="30">
        <f t="shared" si="10"/>
        <v>8.9600000000000013E-2</v>
      </c>
      <c r="O15" s="250">
        <f t="shared" si="11"/>
        <v>8.3100000000000007E-2</v>
      </c>
      <c r="P15" s="28">
        <f t="shared" si="11"/>
        <v>8.4900000000000003E-2</v>
      </c>
      <c r="Q15" s="29">
        <f t="shared" si="11"/>
        <v>8.3100000000000007E-2</v>
      </c>
      <c r="R15" s="30">
        <f t="shared" si="11"/>
        <v>8.1199999999999994E-2</v>
      </c>
      <c r="T15" t="s">
        <v>93</v>
      </c>
      <c r="V15" s="34">
        <f>V13*10+V14</f>
        <v>34</v>
      </c>
      <c r="W15" s="35" t="s">
        <v>94</v>
      </c>
      <c r="X15" s="35" t="s">
        <v>95</v>
      </c>
      <c r="Y15" s="35"/>
      <c r="Z15" s="35"/>
    </row>
    <row r="16" spans="1:27" x14ac:dyDescent="0.25">
      <c r="A16" s="15">
        <v>12</v>
      </c>
      <c r="B16" s="31">
        <v>9</v>
      </c>
      <c r="C16" s="250">
        <v>0.1444</v>
      </c>
      <c r="D16" s="28">
        <v>0.14630000000000001</v>
      </c>
      <c r="E16" s="29">
        <v>0.1444</v>
      </c>
      <c r="F16" s="30">
        <f t="shared" si="8"/>
        <v>0.14250000000000002</v>
      </c>
      <c r="G16" s="250">
        <f t="shared" si="6"/>
        <v>0.1145</v>
      </c>
      <c r="H16" s="28">
        <v>0.1164</v>
      </c>
      <c r="I16" s="29">
        <f t="shared" si="6"/>
        <v>0.1145</v>
      </c>
      <c r="J16" s="30">
        <f t="shared" si="6"/>
        <v>0.11260000000000001</v>
      </c>
      <c r="K16" s="250">
        <f t="shared" ref="K16:K17" si="12">K15+0.0016</f>
        <v>9.3100000000000002E-2</v>
      </c>
      <c r="L16" s="28">
        <f t="shared" si="7"/>
        <v>9.4999999999999987E-2</v>
      </c>
      <c r="M16" s="29">
        <f t="shared" si="10"/>
        <v>9.3100000000000002E-2</v>
      </c>
      <c r="N16" s="30">
        <f t="shared" si="10"/>
        <v>9.1200000000000017E-2</v>
      </c>
      <c r="O16" s="250">
        <f t="shared" si="11"/>
        <v>8.4600000000000009E-2</v>
      </c>
      <c r="P16" s="28">
        <v>8.6499999999999994E-2</v>
      </c>
      <c r="Q16" s="29">
        <f t="shared" si="11"/>
        <v>8.4600000000000009E-2</v>
      </c>
      <c r="R16" s="30">
        <f t="shared" si="11"/>
        <v>8.2699999999999996E-2</v>
      </c>
      <c r="T16" s="32" t="s">
        <v>96</v>
      </c>
      <c r="U16" s="32">
        <v>1</v>
      </c>
      <c r="V16" s="33">
        <f>'Hobin Clasic'!I13</f>
        <v>14</v>
      </c>
      <c r="W16">
        <f>MATCH($V16,$B$5:$B$31,0)</f>
        <v>17</v>
      </c>
      <c r="X16">
        <f>MATCH($V$15,$B$5:$R$5,0)</f>
        <v>15</v>
      </c>
      <c r="Y16" s="36">
        <f>INDEX($B$5:$R$31,W16,X16)</f>
        <v>9.4E-2</v>
      </c>
      <c r="Z16" s="44">
        <f>IF(V16&lt;&gt;0,Y16,0)</f>
        <v>9.4E-2</v>
      </c>
      <c r="AA16" s="252">
        <f>Z13*Z16</f>
        <v>507.6</v>
      </c>
    </row>
    <row r="17" spans="1:27" x14ac:dyDescent="0.25">
      <c r="A17" s="15">
        <v>13</v>
      </c>
      <c r="B17" s="31">
        <v>10</v>
      </c>
      <c r="C17" s="250">
        <v>0.1469</v>
      </c>
      <c r="D17" s="28">
        <v>0.1489</v>
      </c>
      <c r="E17" s="29">
        <v>0.1469</v>
      </c>
      <c r="F17" s="30">
        <f t="shared" si="8"/>
        <v>0.14500000000000002</v>
      </c>
      <c r="G17" s="250">
        <f t="shared" si="6"/>
        <v>0.11650000000000001</v>
      </c>
      <c r="H17" s="28">
        <v>0.11840000000000001</v>
      </c>
      <c r="I17" s="29">
        <f t="shared" si="6"/>
        <v>0.11650000000000001</v>
      </c>
      <c r="J17" s="30">
        <v>0.1145</v>
      </c>
      <c r="K17" s="250">
        <f t="shared" si="12"/>
        <v>9.4700000000000006E-2</v>
      </c>
      <c r="L17" s="28">
        <f t="shared" si="7"/>
        <v>9.669999999999998E-2</v>
      </c>
      <c r="M17" s="29">
        <f t="shared" si="10"/>
        <v>9.4700000000000006E-2</v>
      </c>
      <c r="N17" s="30">
        <f t="shared" si="10"/>
        <v>9.2800000000000021E-2</v>
      </c>
      <c r="O17" s="250">
        <v>8.5999999999999993E-2</v>
      </c>
      <c r="P17" s="28">
        <f t="shared" si="11"/>
        <v>8.7999999999999995E-2</v>
      </c>
      <c r="Q17" s="29">
        <v>8.5999999999999993E-2</v>
      </c>
      <c r="R17" s="30">
        <v>8.4099999999999994E-2</v>
      </c>
      <c r="T17" s="32" t="s">
        <v>96</v>
      </c>
      <c r="U17" s="32">
        <v>2</v>
      </c>
      <c r="V17" s="33">
        <f>'Hobin Clasic'!I14</f>
        <v>12</v>
      </c>
      <c r="W17">
        <f>MATCH($V17,$B$5:$B$31,0)</f>
        <v>15</v>
      </c>
      <c r="X17">
        <f>MATCH($V$15,$B$5:$R$5,0)</f>
        <v>15</v>
      </c>
      <c r="Y17" s="36">
        <f>INDEX($B$5:$R$31,W17,X17)</f>
        <v>9.0999999999999998E-2</v>
      </c>
      <c r="Z17" s="44">
        <f>IF(V17&lt;&gt;0,Y17,0)</f>
        <v>9.0999999999999998E-2</v>
      </c>
      <c r="AA17" s="252">
        <f>Z17*Z13</f>
        <v>491.4</v>
      </c>
    </row>
    <row r="18" spans="1:27" x14ac:dyDescent="0.25">
      <c r="A18" s="15">
        <v>14</v>
      </c>
      <c r="B18" s="31">
        <v>11</v>
      </c>
      <c r="C18" s="250">
        <v>0.14949999999999999</v>
      </c>
      <c r="D18" s="28">
        <v>0.15140000000000001</v>
      </c>
      <c r="E18" s="29">
        <v>0.14949999999999999</v>
      </c>
      <c r="F18" s="30">
        <f t="shared" si="8"/>
        <v>0.14750000000000002</v>
      </c>
      <c r="G18" s="250">
        <f t="shared" si="6"/>
        <v>0.11850000000000001</v>
      </c>
      <c r="H18" s="28">
        <v>0.1205</v>
      </c>
      <c r="I18" s="29">
        <f t="shared" si="6"/>
        <v>0.11850000000000001</v>
      </c>
      <c r="J18" s="30">
        <f t="shared" si="6"/>
        <v>0.11650000000000001</v>
      </c>
      <c r="K18" s="250">
        <v>9.64E-2</v>
      </c>
      <c r="L18" s="28">
        <v>9.8299999999999998E-2</v>
      </c>
      <c r="M18" s="29">
        <v>9.64E-2</v>
      </c>
      <c r="N18" s="30">
        <f t="shared" si="10"/>
        <v>9.4400000000000026E-2</v>
      </c>
      <c r="O18" s="250">
        <f t="shared" ref="O18:O21" si="13">O17+0.0015</f>
        <v>8.7499999999999994E-2</v>
      </c>
      <c r="P18" s="28">
        <f t="shared" si="11"/>
        <v>8.9499999999999996E-2</v>
      </c>
      <c r="Q18" s="29">
        <f t="shared" si="11"/>
        <v>8.7499999999999994E-2</v>
      </c>
      <c r="R18" s="30">
        <f t="shared" si="11"/>
        <v>8.5599999999999996E-2</v>
      </c>
      <c r="T18" s="32" t="s">
        <v>96</v>
      </c>
      <c r="U18" s="32">
        <v>3</v>
      </c>
      <c r="V18" s="33">
        <f>'Hobin Clasic'!I15</f>
        <v>10</v>
      </c>
      <c r="W18">
        <f>MATCH($V18,$B$5:$B$31,0)</f>
        <v>13</v>
      </c>
      <c r="X18">
        <f>MATCH($V$15,$B$5:$R$5,0)</f>
        <v>15</v>
      </c>
      <c r="Y18" s="36">
        <f>INDEX($B$5:$R$31,W18,X18)</f>
        <v>8.7999999999999995E-2</v>
      </c>
      <c r="Z18" s="44">
        <f>IF(V18&lt;&gt;0,Y18,0)</f>
        <v>8.7999999999999995E-2</v>
      </c>
      <c r="AA18" s="252">
        <f>Z18*Z13</f>
        <v>475.2</v>
      </c>
    </row>
    <row r="19" spans="1:27" x14ac:dyDescent="0.25">
      <c r="A19" s="15">
        <v>15</v>
      </c>
      <c r="B19" s="31">
        <v>12</v>
      </c>
      <c r="C19" s="250">
        <v>0.152</v>
      </c>
      <c r="D19" s="28">
        <v>0.154</v>
      </c>
      <c r="E19" s="29">
        <v>0.152</v>
      </c>
      <c r="F19" s="30">
        <f t="shared" si="8"/>
        <v>0.15000000000000002</v>
      </c>
      <c r="G19" s="250">
        <f t="shared" si="6"/>
        <v>0.12050000000000001</v>
      </c>
      <c r="H19" s="28">
        <v>0.1225</v>
      </c>
      <c r="I19" s="29">
        <f t="shared" si="6"/>
        <v>0.12050000000000001</v>
      </c>
      <c r="J19" s="30">
        <f t="shared" si="6"/>
        <v>0.11850000000000001</v>
      </c>
      <c r="K19" s="250">
        <f t="shared" ref="K19:K20" si="14">K18+0.0016</f>
        <v>9.8000000000000004E-2</v>
      </c>
      <c r="L19" s="28">
        <f t="shared" si="7"/>
        <v>9.9999999999999992E-2</v>
      </c>
      <c r="M19" s="29">
        <f t="shared" si="10"/>
        <v>9.8000000000000004E-2</v>
      </c>
      <c r="N19" s="30">
        <f t="shared" si="10"/>
        <v>9.600000000000003E-2</v>
      </c>
      <c r="O19" s="250">
        <f t="shared" si="13"/>
        <v>8.8999999999999996E-2</v>
      </c>
      <c r="P19" s="28">
        <f t="shared" si="11"/>
        <v>9.0999999999999998E-2</v>
      </c>
      <c r="Q19" s="29">
        <f t="shared" si="11"/>
        <v>8.8999999999999996E-2</v>
      </c>
      <c r="R19" s="30">
        <v>8.6999999999999994E-2</v>
      </c>
      <c r="T19" s="32" t="s">
        <v>96</v>
      </c>
      <c r="U19" s="32">
        <v>4</v>
      </c>
      <c r="V19" s="37">
        <f>'Hobin Clasic'!I16</f>
        <v>8</v>
      </c>
      <c r="W19" s="35">
        <f>MATCH($V19,$B$5:$B$31,0)</f>
        <v>11</v>
      </c>
      <c r="X19" s="35">
        <f>MATCH($V$15,$B$5:$R$5,0)</f>
        <v>15</v>
      </c>
      <c r="Y19" s="38">
        <f>INDEX($B$5:$R$31,W19,X19)</f>
        <v>8.4900000000000003E-2</v>
      </c>
      <c r="Z19" s="46">
        <f>IF(V19&lt;&gt;0,Y19,0)</f>
        <v>8.4900000000000003E-2</v>
      </c>
      <c r="AA19" s="252">
        <f>Z19*Z13</f>
        <v>458.46000000000004</v>
      </c>
    </row>
    <row r="20" spans="1:27" x14ac:dyDescent="0.25">
      <c r="A20" s="15">
        <v>16</v>
      </c>
      <c r="B20" s="31">
        <v>13</v>
      </c>
      <c r="C20" s="250">
        <v>0.1545</v>
      </c>
      <c r="D20" s="28">
        <v>0.15655714285714301</v>
      </c>
      <c r="E20" s="29">
        <v>0.1545</v>
      </c>
      <c r="F20" s="30">
        <f t="shared" si="8"/>
        <v>0.15250000000000002</v>
      </c>
      <c r="G20" s="250">
        <f t="shared" si="6"/>
        <v>0.12250000000000001</v>
      </c>
      <c r="H20" s="28">
        <v>0.1245</v>
      </c>
      <c r="I20" s="29">
        <f t="shared" si="6"/>
        <v>0.12250000000000001</v>
      </c>
      <c r="J20" s="30">
        <f t="shared" si="6"/>
        <v>0.12050000000000001</v>
      </c>
      <c r="K20" s="250">
        <f t="shared" si="14"/>
        <v>9.9600000000000008E-2</v>
      </c>
      <c r="L20" s="28">
        <f t="shared" si="7"/>
        <v>0.10169999999999998</v>
      </c>
      <c r="M20" s="29">
        <f t="shared" si="10"/>
        <v>9.9600000000000008E-2</v>
      </c>
      <c r="N20" s="30">
        <f t="shared" si="10"/>
        <v>9.7600000000000034E-2</v>
      </c>
      <c r="O20" s="250">
        <f t="shared" si="13"/>
        <v>9.0499999999999997E-2</v>
      </c>
      <c r="P20" s="28">
        <f t="shared" si="11"/>
        <v>9.2499999999999999E-2</v>
      </c>
      <c r="Q20" s="29">
        <f t="shared" si="11"/>
        <v>9.0499999999999997E-2</v>
      </c>
      <c r="R20" s="30">
        <v>8.8400000000000006E-2</v>
      </c>
      <c r="Y20" s="36"/>
      <c r="Z20" s="44">
        <f>SUM(Z16:Z19)</f>
        <v>0.3579</v>
      </c>
    </row>
    <row r="21" spans="1:27" x14ac:dyDescent="0.25">
      <c r="A21" s="15">
        <v>17</v>
      </c>
      <c r="B21" s="31">
        <v>14</v>
      </c>
      <c r="C21" s="250">
        <v>0.15709999999999999</v>
      </c>
      <c r="D21" s="28">
        <v>0.159121428571429</v>
      </c>
      <c r="E21" s="29">
        <v>0.15709999999999999</v>
      </c>
      <c r="F21" s="30">
        <f t="shared" si="8"/>
        <v>0.15500000000000003</v>
      </c>
      <c r="G21" s="250">
        <f t="shared" si="6"/>
        <v>0.12450000000000001</v>
      </c>
      <c r="H21" s="28">
        <v>0.12659999999999999</v>
      </c>
      <c r="I21" s="29">
        <f t="shared" si="6"/>
        <v>0.12450000000000001</v>
      </c>
      <c r="J21" s="30">
        <f t="shared" si="6"/>
        <v>0.12250000000000001</v>
      </c>
      <c r="K21" s="250">
        <v>0.1013</v>
      </c>
      <c r="L21" s="28">
        <v>0.1033</v>
      </c>
      <c r="M21" s="29">
        <v>0.1013</v>
      </c>
      <c r="N21" s="30">
        <f t="shared" si="10"/>
        <v>9.9200000000000038E-2</v>
      </c>
      <c r="O21" s="250">
        <f t="shared" si="13"/>
        <v>9.1999999999999998E-2</v>
      </c>
      <c r="P21" s="28">
        <f t="shared" si="11"/>
        <v>9.4E-2</v>
      </c>
      <c r="Q21" s="29">
        <f t="shared" si="11"/>
        <v>9.1999999999999998E-2</v>
      </c>
      <c r="R21" s="30">
        <f t="shared" si="11"/>
        <v>8.9900000000000008E-2</v>
      </c>
    </row>
    <row r="22" spans="1:27" x14ac:dyDescent="0.25">
      <c r="A22" s="15">
        <v>18</v>
      </c>
      <c r="B22" s="31">
        <v>15</v>
      </c>
      <c r="C22" s="250">
        <v>0.15960833333333299</v>
      </c>
      <c r="D22" s="28">
        <v>0.16168571428571399</v>
      </c>
      <c r="E22" s="29">
        <v>0.15960833333333299</v>
      </c>
      <c r="F22" s="30">
        <f t="shared" si="8"/>
        <v>0.15750000000000003</v>
      </c>
      <c r="G22" s="250">
        <f t="shared" si="6"/>
        <v>0.1265</v>
      </c>
      <c r="H22" s="28">
        <v>0.12859999999999999</v>
      </c>
      <c r="I22" s="29">
        <f t="shared" si="6"/>
        <v>0.1265</v>
      </c>
      <c r="J22" s="30">
        <v>0.1244</v>
      </c>
      <c r="K22" s="250">
        <f t="shared" ref="K22:K23" si="15">K21+0.0016</f>
        <v>0.10290000000000001</v>
      </c>
      <c r="L22" s="28">
        <f t="shared" si="7"/>
        <v>0.105</v>
      </c>
      <c r="M22" s="29">
        <f t="shared" si="10"/>
        <v>0.10290000000000001</v>
      </c>
      <c r="N22" s="30">
        <f t="shared" si="10"/>
        <v>0.10080000000000004</v>
      </c>
      <c r="O22" s="250">
        <v>9.3399999999999997E-2</v>
      </c>
      <c r="P22" s="28">
        <f t="shared" si="11"/>
        <v>9.5500000000000002E-2</v>
      </c>
      <c r="Q22" s="29">
        <v>9.3399999999999997E-2</v>
      </c>
      <c r="R22" s="30">
        <v>9.1300000000000006E-2</v>
      </c>
    </row>
    <row r="23" spans="1:27" x14ac:dyDescent="0.25">
      <c r="A23" s="15">
        <v>19</v>
      </c>
      <c r="B23" s="31">
        <v>16</v>
      </c>
      <c r="C23" s="250">
        <v>0.16220000000000001</v>
      </c>
      <c r="D23" s="28">
        <v>0.16425000000000001</v>
      </c>
      <c r="E23" s="29">
        <v>0.16220000000000001</v>
      </c>
      <c r="F23" s="30">
        <f t="shared" si="8"/>
        <v>0.16000000000000003</v>
      </c>
      <c r="G23" s="250">
        <f t="shared" si="6"/>
        <v>0.1285</v>
      </c>
      <c r="H23" s="28">
        <v>0.13070000000000001</v>
      </c>
      <c r="I23" s="29">
        <f t="shared" si="6"/>
        <v>0.1285</v>
      </c>
      <c r="J23" s="30">
        <f t="shared" si="6"/>
        <v>0.12639999999999998</v>
      </c>
      <c r="K23" s="250">
        <f t="shared" si="15"/>
        <v>0.10450000000000001</v>
      </c>
      <c r="L23" s="28">
        <f t="shared" si="7"/>
        <v>0.10669999999999999</v>
      </c>
      <c r="M23" s="29">
        <f t="shared" si="10"/>
        <v>0.10450000000000001</v>
      </c>
      <c r="N23" s="30">
        <f t="shared" si="10"/>
        <v>0.10240000000000005</v>
      </c>
      <c r="O23" s="250">
        <f t="shared" ref="O23:O27" si="16">O22+0.0015</f>
        <v>9.4899999999999998E-2</v>
      </c>
      <c r="P23" s="28">
        <v>9.7100000000000006E-2</v>
      </c>
      <c r="Q23" s="29">
        <f t="shared" si="11"/>
        <v>9.4899999999999998E-2</v>
      </c>
      <c r="R23" s="30">
        <f t="shared" si="11"/>
        <v>9.2800000000000007E-2</v>
      </c>
      <c r="V23" s="39"/>
    </row>
    <row r="24" spans="1:27" x14ac:dyDescent="0.25">
      <c r="A24" s="15">
        <v>20</v>
      </c>
      <c r="B24" s="31">
        <v>17</v>
      </c>
      <c r="C24" s="250">
        <v>0.16467833333333301</v>
      </c>
      <c r="D24" s="28">
        <v>0.166814285714286</v>
      </c>
      <c r="E24" s="29">
        <v>0.16467833333333301</v>
      </c>
      <c r="F24" s="30">
        <f t="shared" si="8"/>
        <v>0.16250000000000003</v>
      </c>
      <c r="G24" s="250">
        <f t="shared" si="6"/>
        <v>0.1305</v>
      </c>
      <c r="H24" s="28">
        <v>0.13270000000000001</v>
      </c>
      <c r="I24" s="29">
        <f t="shared" si="6"/>
        <v>0.1305</v>
      </c>
      <c r="J24" s="30">
        <f t="shared" si="6"/>
        <v>0.12839999999999999</v>
      </c>
      <c r="K24" s="250">
        <v>0.1062</v>
      </c>
      <c r="L24" s="28">
        <v>0.10829999999999999</v>
      </c>
      <c r="M24" s="29">
        <v>0.1062</v>
      </c>
      <c r="N24" s="30">
        <f t="shared" si="10"/>
        <v>0.10400000000000005</v>
      </c>
      <c r="O24" s="250">
        <f t="shared" si="16"/>
        <v>9.64E-2</v>
      </c>
      <c r="P24" s="28">
        <f t="shared" si="11"/>
        <v>9.8600000000000007E-2</v>
      </c>
      <c r="Q24" s="29">
        <f t="shared" si="11"/>
        <v>9.64E-2</v>
      </c>
      <c r="R24" s="30">
        <f t="shared" si="11"/>
        <v>9.4300000000000009E-2</v>
      </c>
      <c r="V24" s="39"/>
    </row>
    <row r="25" spans="1:27" x14ac:dyDescent="0.25">
      <c r="A25" s="15">
        <v>21</v>
      </c>
      <c r="B25" s="31">
        <v>18</v>
      </c>
      <c r="C25" s="250">
        <v>0.16721333333333299</v>
      </c>
      <c r="D25" s="28">
        <v>0.16937857142857099</v>
      </c>
      <c r="E25" s="29">
        <v>0.16721333333333299</v>
      </c>
      <c r="F25" s="30">
        <f t="shared" si="8"/>
        <v>0.16500000000000004</v>
      </c>
      <c r="G25" s="250">
        <v>0.13250000000000001</v>
      </c>
      <c r="H25" s="28">
        <v>0.13469999999999999</v>
      </c>
      <c r="I25" s="29">
        <v>0.13250000000000001</v>
      </c>
      <c r="J25" s="30">
        <v>0.1303</v>
      </c>
      <c r="K25" s="250">
        <f t="shared" ref="K25:K26" si="17">K24+0.0016</f>
        <v>0.10780000000000001</v>
      </c>
      <c r="L25" s="28">
        <f t="shared" si="7"/>
        <v>0.10999999999999999</v>
      </c>
      <c r="M25" s="29">
        <f t="shared" si="10"/>
        <v>0.10780000000000001</v>
      </c>
      <c r="N25" s="30">
        <f t="shared" si="10"/>
        <v>0.10560000000000005</v>
      </c>
      <c r="O25" s="250">
        <f t="shared" si="16"/>
        <v>9.7900000000000001E-2</v>
      </c>
      <c r="P25" s="28">
        <f t="shared" si="11"/>
        <v>0.10010000000000001</v>
      </c>
      <c r="Q25" s="29">
        <f t="shared" si="11"/>
        <v>9.7900000000000001E-2</v>
      </c>
      <c r="R25" s="30">
        <v>9.5699999999999993E-2</v>
      </c>
      <c r="V25" s="39"/>
    </row>
    <row r="26" spans="1:27" x14ac:dyDescent="0.25">
      <c r="A26" s="15">
        <v>22</v>
      </c>
      <c r="B26" s="31">
        <v>19</v>
      </c>
      <c r="C26" s="250">
        <v>0.169748333333333</v>
      </c>
      <c r="D26" s="28">
        <v>0.17199999999999999</v>
      </c>
      <c r="E26" s="29">
        <v>0.169748333333333</v>
      </c>
      <c r="F26" s="30">
        <f t="shared" si="8"/>
        <v>0.16750000000000004</v>
      </c>
      <c r="G26" s="250">
        <v>0.1346</v>
      </c>
      <c r="H26" s="28">
        <v>0.1368</v>
      </c>
      <c r="I26" s="29">
        <v>0.1346</v>
      </c>
      <c r="J26" s="30">
        <f t="shared" si="6"/>
        <v>0.1323</v>
      </c>
      <c r="K26" s="250">
        <f t="shared" si="17"/>
        <v>0.10940000000000001</v>
      </c>
      <c r="L26" s="28">
        <f t="shared" si="7"/>
        <v>0.11169999999999998</v>
      </c>
      <c r="M26" s="29">
        <f t="shared" si="10"/>
        <v>0.10940000000000001</v>
      </c>
      <c r="N26" s="30">
        <f t="shared" si="10"/>
        <v>0.10720000000000006</v>
      </c>
      <c r="O26" s="250">
        <f t="shared" si="16"/>
        <v>9.9400000000000002E-2</v>
      </c>
      <c r="P26" s="28">
        <f t="shared" si="11"/>
        <v>0.10160000000000001</v>
      </c>
      <c r="Q26" s="29">
        <f t="shared" si="11"/>
        <v>9.9400000000000002E-2</v>
      </c>
      <c r="R26" s="30">
        <f t="shared" si="11"/>
        <v>9.7199999999999995E-2</v>
      </c>
      <c r="V26" s="39"/>
    </row>
    <row r="27" spans="1:27" x14ac:dyDescent="0.25">
      <c r="A27" s="15">
        <v>23</v>
      </c>
      <c r="B27" s="31">
        <v>20</v>
      </c>
      <c r="C27" s="250">
        <v>0.17228333333333301</v>
      </c>
      <c r="D27" s="28">
        <v>0.174507142857143</v>
      </c>
      <c r="E27" s="29">
        <v>0.17228333333333301</v>
      </c>
      <c r="F27" s="30">
        <f t="shared" si="8"/>
        <v>0.17000000000000004</v>
      </c>
      <c r="G27" s="250">
        <f t="shared" ref="G27:J31" si="18">G26+0.002</f>
        <v>0.1366</v>
      </c>
      <c r="H27" s="28">
        <v>0.13880000000000001</v>
      </c>
      <c r="I27" s="29">
        <f t="shared" si="18"/>
        <v>0.1366</v>
      </c>
      <c r="J27" s="30">
        <f t="shared" si="6"/>
        <v>0.1343</v>
      </c>
      <c r="K27" s="250">
        <v>0.1111</v>
      </c>
      <c r="L27" s="28">
        <v>0.1133</v>
      </c>
      <c r="M27" s="29">
        <v>0.1111</v>
      </c>
      <c r="N27" s="30">
        <f t="shared" si="10"/>
        <v>0.10880000000000006</v>
      </c>
      <c r="O27" s="250">
        <f t="shared" si="16"/>
        <v>0.1009</v>
      </c>
      <c r="P27" s="28">
        <f t="shared" si="11"/>
        <v>0.10310000000000001</v>
      </c>
      <c r="Q27" s="29">
        <f t="shared" si="11"/>
        <v>0.1009</v>
      </c>
      <c r="R27" s="30">
        <v>9.8599999999999993E-2</v>
      </c>
    </row>
    <row r="28" spans="1:27" x14ac:dyDescent="0.25">
      <c r="A28" s="15">
        <v>24</v>
      </c>
      <c r="B28" s="31">
        <v>21</v>
      </c>
      <c r="C28" s="250">
        <v>0.17481833333333299</v>
      </c>
      <c r="D28" s="28">
        <v>0.17707142857142899</v>
      </c>
      <c r="E28" s="29">
        <v>0.17481833333333299</v>
      </c>
      <c r="F28" s="30">
        <f t="shared" si="8"/>
        <v>0.17250000000000004</v>
      </c>
      <c r="G28" s="250">
        <f t="shared" si="18"/>
        <v>0.1386</v>
      </c>
      <c r="H28" s="28">
        <v>0.1409</v>
      </c>
      <c r="I28" s="29">
        <f t="shared" si="18"/>
        <v>0.1386</v>
      </c>
      <c r="J28" s="30">
        <f t="shared" si="6"/>
        <v>0.1363</v>
      </c>
      <c r="K28" s="250">
        <f t="shared" ref="K28:K29" si="19">K27+0.0016</f>
        <v>0.11270000000000001</v>
      </c>
      <c r="L28" s="28">
        <f t="shared" si="7"/>
        <v>0.11499999999999999</v>
      </c>
      <c r="M28" s="29">
        <f t="shared" si="10"/>
        <v>0.11270000000000001</v>
      </c>
      <c r="N28" s="30">
        <f t="shared" si="10"/>
        <v>0.11040000000000007</v>
      </c>
      <c r="O28" s="250">
        <v>0.1023</v>
      </c>
      <c r="P28" s="28">
        <f t="shared" si="11"/>
        <v>0.10460000000000001</v>
      </c>
      <c r="Q28" s="29">
        <v>0.1023</v>
      </c>
      <c r="R28" s="30">
        <v>0.1</v>
      </c>
    </row>
    <row r="29" spans="1:27" x14ac:dyDescent="0.25">
      <c r="A29" s="15">
        <v>25</v>
      </c>
      <c r="B29" s="31">
        <v>22</v>
      </c>
      <c r="C29" s="250">
        <v>0.17730000000000001</v>
      </c>
      <c r="D29" s="28">
        <v>0.1797</v>
      </c>
      <c r="E29" s="29">
        <v>0.17730000000000001</v>
      </c>
      <c r="F29" s="30">
        <f t="shared" si="8"/>
        <v>0.17500000000000004</v>
      </c>
      <c r="G29" s="250">
        <f t="shared" si="18"/>
        <v>0.1406</v>
      </c>
      <c r="H29" s="28">
        <v>0.1429</v>
      </c>
      <c r="I29" s="29">
        <f t="shared" si="18"/>
        <v>0.1406</v>
      </c>
      <c r="J29" s="30">
        <f t="shared" si="18"/>
        <v>0.13830000000000001</v>
      </c>
      <c r="K29" s="250">
        <f t="shared" si="19"/>
        <v>0.11430000000000001</v>
      </c>
      <c r="L29" s="28">
        <f t="shared" si="7"/>
        <v>0.11669999999999998</v>
      </c>
      <c r="M29" s="29">
        <f t="shared" si="10"/>
        <v>0.11430000000000001</v>
      </c>
      <c r="N29" s="30">
        <f t="shared" si="10"/>
        <v>0.11200000000000007</v>
      </c>
      <c r="O29" s="250">
        <f t="shared" ref="O29:R31" si="20">O28+0.0015</f>
        <v>0.1038</v>
      </c>
      <c r="P29" s="28">
        <v>0.1062</v>
      </c>
      <c r="Q29" s="29">
        <f t="shared" si="11"/>
        <v>0.1038</v>
      </c>
      <c r="R29" s="30">
        <f t="shared" si="11"/>
        <v>0.10150000000000001</v>
      </c>
    </row>
    <row r="30" spans="1:27" x14ac:dyDescent="0.25">
      <c r="A30" s="15">
        <v>26</v>
      </c>
      <c r="B30" s="31">
        <v>23</v>
      </c>
      <c r="C30" s="250">
        <v>0.17988833333333301</v>
      </c>
      <c r="D30" s="28">
        <v>0.1822</v>
      </c>
      <c r="E30" s="29">
        <v>0.17988833333333301</v>
      </c>
      <c r="F30" s="30">
        <f t="shared" si="8"/>
        <v>0.17750000000000005</v>
      </c>
      <c r="G30" s="250">
        <f t="shared" si="18"/>
        <v>0.1426</v>
      </c>
      <c r="H30" s="28">
        <v>0.14499999999999999</v>
      </c>
      <c r="I30" s="29">
        <f t="shared" si="18"/>
        <v>0.1426</v>
      </c>
      <c r="J30" s="30">
        <v>0.14019999999999999</v>
      </c>
      <c r="K30" s="250">
        <v>0.11600000000000001</v>
      </c>
      <c r="L30" s="28">
        <v>0.1183</v>
      </c>
      <c r="M30" s="29">
        <v>0.11600000000000001</v>
      </c>
      <c r="N30" s="30">
        <f t="shared" ref="N30:N31" si="21">N29+0.0016</f>
        <v>0.11360000000000008</v>
      </c>
      <c r="O30" s="250">
        <f t="shared" si="20"/>
        <v>0.1053</v>
      </c>
      <c r="P30" s="28">
        <f t="shared" si="20"/>
        <v>0.1077</v>
      </c>
      <c r="Q30" s="29">
        <f t="shared" si="20"/>
        <v>0.1053</v>
      </c>
      <c r="R30" s="30">
        <v>0.10290000000000001</v>
      </c>
    </row>
    <row r="31" spans="1:27" ht="15.75" thickBot="1" x14ac:dyDescent="0.3">
      <c r="A31" s="15">
        <v>27</v>
      </c>
      <c r="B31" s="40">
        <v>24</v>
      </c>
      <c r="C31" s="251">
        <v>0.18242333333333299</v>
      </c>
      <c r="D31" s="41">
        <v>0.18476428571428599</v>
      </c>
      <c r="E31" s="42">
        <v>0.18242333333333299</v>
      </c>
      <c r="F31" s="43">
        <f t="shared" si="8"/>
        <v>0.18000000000000005</v>
      </c>
      <c r="G31" s="251">
        <f t="shared" si="18"/>
        <v>0.14460000000000001</v>
      </c>
      <c r="H31" s="41">
        <v>0.14699999999999999</v>
      </c>
      <c r="I31" s="42">
        <f t="shared" si="18"/>
        <v>0.14460000000000001</v>
      </c>
      <c r="J31" s="43">
        <f t="shared" si="18"/>
        <v>0.14219999999999999</v>
      </c>
      <c r="K31" s="251">
        <f t="shared" ref="K31:M31" si="22">K30+0.0016</f>
        <v>0.11760000000000001</v>
      </c>
      <c r="L31" s="41">
        <f t="shared" ref="L31" si="23">L30+0.0017</f>
        <v>0.12</v>
      </c>
      <c r="M31" s="42">
        <f t="shared" si="22"/>
        <v>0.11760000000000001</v>
      </c>
      <c r="N31" s="43">
        <f t="shared" si="21"/>
        <v>0.11520000000000008</v>
      </c>
      <c r="O31" s="251">
        <f t="shared" si="20"/>
        <v>0.10680000000000001</v>
      </c>
      <c r="P31" s="41">
        <f t="shared" si="20"/>
        <v>0.10920000000000001</v>
      </c>
      <c r="Q31" s="42">
        <f t="shared" si="20"/>
        <v>0.10680000000000001</v>
      </c>
      <c r="R31" s="43">
        <f t="shared" si="20"/>
        <v>0.10440000000000001</v>
      </c>
    </row>
    <row r="32" spans="1:27" x14ac:dyDescent="0.25">
      <c r="E32" s="44"/>
    </row>
    <row r="33" spans="4:7" x14ac:dyDescent="0.25">
      <c r="D33" s="256" t="s">
        <v>97</v>
      </c>
      <c r="E33" s="257"/>
      <c r="F33" s="257"/>
      <c r="G33" t="s">
        <v>98</v>
      </c>
    </row>
    <row r="34" spans="4:7" x14ac:dyDescent="0.25">
      <c r="D34" s="258" t="s">
        <v>99</v>
      </c>
      <c r="E34" s="259"/>
      <c r="F34" s="259"/>
      <c r="G34" t="s">
        <v>100</v>
      </c>
    </row>
    <row r="35" spans="4:7" x14ac:dyDescent="0.25">
      <c r="D35" s="260" t="s">
        <v>101</v>
      </c>
      <c r="E35" s="261"/>
      <c r="F35" s="261"/>
      <c r="G35" t="s">
        <v>102</v>
      </c>
    </row>
    <row r="36" spans="4:7" x14ac:dyDescent="0.25">
      <c r="D36" s="262" t="s">
        <v>103</v>
      </c>
      <c r="E36" s="263"/>
      <c r="F36" s="263"/>
      <c r="G36" t="s">
        <v>104</v>
      </c>
    </row>
  </sheetData>
  <sheetProtection algorithmName="SHA-512" hashValue="wstxqrYLyXqWzTefVEz1VTax4nuz+sx9nQF16jgqNxdy9IN4Bt9UY5UDq19wqmyp1kZ51kgR7KS9CPX8n0IgPg==" saltValue="n+jM2IDDOuLDxoCIjhfUMg==" spinCount="100000" sheet="1" objects="1" scenarios="1" selectLockedCells="1" selectUnlockedCells="1"/>
  <mergeCells count="5">
    <mergeCell ref="C2:R2"/>
    <mergeCell ref="D33:F33"/>
    <mergeCell ref="D34:F34"/>
    <mergeCell ref="D35:F35"/>
    <mergeCell ref="D36:F36"/>
  </mergeCells>
  <pageMargins left="0.7" right="0.7" top="0.75" bottom="0.75" header="0.3" footer="0.3"/>
  <pageSetup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B1:R43"/>
  <sheetViews>
    <sheetView topLeftCell="A6" workbookViewId="0">
      <selection activeCell="C17" sqref="C17"/>
    </sheetView>
  </sheetViews>
  <sheetFormatPr defaultColWidth="8.85546875" defaultRowHeight="15" x14ac:dyDescent="0.25"/>
  <cols>
    <col min="2" max="2" width="41.42578125" bestFit="1" customWidth="1"/>
    <col min="3" max="3" width="9.42578125" bestFit="1" customWidth="1"/>
    <col min="5" max="5" width="34.42578125" customWidth="1"/>
    <col min="6" max="7" width="9.42578125" bestFit="1" customWidth="1"/>
    <col min="10" max="10" width="20.7109375" customWidth="1"/>
    <col min="11" max="11" width="9.42578125" bestFit="1" customWidth="1"/>
    <col min="15" max="15" width="36.28515625" bestFit="1" customWidth="1"/>
    <col min="16" max="16" width="11" customWidth="1"/>
  </cols>
  <sheetData>
    <row r="1" spans="2:16" ht="15.75" thickBot="1" x14ac:dyDescent="0.3"/>
    <row r="2" spans="2:16" x14ac:dyDescent="0.25">
      <c r="B2" s="49" t="s">
        <v>42</v>
      </c>
      <c r="C2" s="50"/>
    </row>
    <row r="3" spans="2:16" x14ac:dyDescent="0.25">
      <c r="B3" s="51" t="s">
        <v>43</v>
      </c>
      <c r="C3" s="52"/>
    </row>
    <row r="4" spans="2:16" x14ac:dyDescent="0.25">
      <c r="B4" s="51" t="s">
        <v>44</v>
      </c>
      <c r="C4" s="52"/>
    </row>
    <row r="5" spans="2:16" ht="15.75" thickBot="1" x14ac:dyDescent="0.3">
      <c r="B5" s="53" t="s">
        <v>45</v>
      </c>
      <c r="C5" s="54"/>
    </row>
    <row r="6" spans="2:16" ht="15.75" thickBot="1" x14ac:dyDescent="0.3"/>
    <row r="7" spans="2:16" x14ac:dyDescent="0.25">
      <c r="B7" s="55" t="s">
        <v>46</v>
      </c>
      <c r="C7" s="56"/>
      <c r="D7" s="57"/>
      <c r="E7" s="10" t="s">
        <v>47</v>
      </c>
      <c r="F7" s="58"/>
      <c r="G7" s="58"/>
      <c r="H7" s="11"/>
      <c r="J7" s="10" t="s">
        <v>48</v>
      </c>
      <c r="K7" s="58"/>
      <c r="L7" s="58"/>
      <c r="M7" s="48"/>
      <c r="O7" s="10" t="s">
        <v>49</v>
      </c>
      <c r="P7" s="48"/>
    </row>
    <row r="8" spans="2:16" ht="15.75" thickBot="1" x14ac:dyDescent="0.3">
      <c r="B8" s="59" t="s">
        <v>50</v>
      </c>
      <c r="C8" s="60"/>
      <c r="E8" s="3"/>
      <c r="F8" s="7"/>
      <c r="G8" s="7"/>
      <c r="H8" s="47"/>
      <c r="J8" s="3"/>
      <c r="K8" s="7"/>
      <c r="L8" s="7"/>
      <c r="M8" s="47"/>
      <c r="O8" s="3"/>
      <c r="P8" s="47"/>
    </row>
    <row r="9" spans="2:16" x14ac:dyDescent="0.25">
      <c r="B9" s="9"/>
      <c r="C9" s="2"/>
      <c r="E9" s="1"/>
      <c r="H9" s="2"/>
      <c r="J9" s="1"/>
      <c r="M9" s="2"/>
      <c r="O9" s="1"/>
      <c r="P9" s="2"/>
    </row>
    <row r="10" spans="2:16" x14ac:dyDescent="0.25">
      <c r="B10" s="61" t="s">
        <v>51</v>
      </c>
      <c r="C10" s="2"/>
      <c r="E10" s="1" t="s">
        <v>27</v>
      </c>
      <c r="F10" s="4">
        <f>C17</f>
        <v>966.33</v>
      </c>
      <c r="G10" s="4"/>
      <c r="H10" s="2"/>
      <c r="J10" s="1" t="s">
        <v>27</v>
      </c>
      <c r="K10" s="4">
        <f>C18</f>
        <v>966.33</v>
      </c>
      <c r="M10" s="2"/>
      <c r="O10" s="1" t="s">
        <v>52</v>
      </c>
      <c r="P10" s="2"/>
    </row>
    <row r="11" spans="2:16" x14ac:dyDescent="0.25">
      <c r="B11" s="1" t="s">
        <v>14</v>
      </c>
      <c r="C11" s="62">
        <f>'Hobin Clasic'!C22</f>
        <v>0.6</v>
      </c>
      <c r="E11" s="1" t="s">
        <v>28</v>
      </c>
      <c r="F11" s="4"/>
      <c r="G11" s="4">
        <f>F10-C14</f>
        <v>566.33000000000004</v>
      </c>
      <c r="H11" s="2"/>
      <c r="J11" s="1" t="s">
        <v>53</v>
      </c>
      <c r="K11" s="4">
        <f>K10</f>
        <v>966.33</v>
      </c>
      <c r="M11" s="2"/>
      <c r="O11" s="1" t="s">
        <v>54</v>
      </c>
      <c r="P11" s="13">
        <f>F15</f>
        <v>235.59125399999999</v>
      </c>
    </row>
    <row r="12" spans="2:16" x14ac:dyDescent="0.25">
      <c r="B12" s="1" t="s">
        <v>15</v>
      </c>
      <c r="C12" s="62">
        <f>'Hobin Clasic'!C24</f>
        <v>0.4</v>
      </c>
      <c r="E12" s="1" t="s">
        <v>32</v>
      </c>
      <c r="F12" s="4"/>
      <c r="G12" s="4">
        <f>H12*G11</f>
        <v>339.798</v>
      </c>
      <c r="H12" s="63">
        <f>C11</f>
        <v>0.6</v>
      </c>
      <c r="J12" s="1" t="s">
        <v>33</v>
      </c>
      <c r="K12" s="6">
        <f>K10*L12</f>
        <v>579.798</v>
      </c>
      <c r="L12" s="5">
        <f>H12</f>
        <v>0.6</v>
      </c>
      <c r="M12" s="2"/>
      <c r="O12" s="1" t="s">
        <v>55</v>
      </c>
      <c r="P12" s="13">
        <f>F20</f>
        <v>104.20674599999995</v>
      </c>
    </row>
    <row r="13" spans="2:16" x14ac:dyDescent="0.25">
      <c r="B13" s="1"/>
      <c r="C13" s="2"/>
      <c r="E13" s="1" t="s">
        <v>30</v>
      </c>
      <c r="F13" s="4"/>
      <c r="G13" s="4">
        <f>H13*G11</f>
        <v>226.53200000000004</v>
      </c>
      <c r="H13" s="63">
        <f>C12</f>
        <v>0.4</v>
      </c>
      <c r="J13" s="1" t="s">
        <v>56</v>
      </c>
      <c r="K13" s="6">
        <f>K10*L13</f>
        <v>386.53200000000004</v>
      </c>
      <c r="L13" s="5">
        <f>H13</f>
        <v>0.4</v>
      </c>
      <c r="M13" s="2"/>
      <c r="O13" s="1" t="s">
        <v>57</v>
      </c>
      <c r="P13" s="13">
        <f>K12</f>
        <v>579.798</v>
      </c>
    </row>
    <row r="14" spans="2:16" ht="15.75" thickBot="1" x14ac:dyDescent="0.3">
      <c r="B14" s="61" t="s">
        <v>58</v>
      </c>
      <c r="C14" s="64">
        <f>'Hobin Clasic'!C32</f>
        <v>400</v>
      </c>
      <c r="E14" s="1"/>
      <c r="F14" s="4"/>
      <c r="G14" s="4"/>
      <c r="H14" s="2"/>
      <c r="J14" s="1"/>
      <c r="M14" s="2"/>
      <c r="O14" s="1" t="s">
        <v>59</v>
      </c>
      <c r="P14" s="70">
        <v>0</v>
      </c>
    </row>
    <row r="15" spans="2:16" ht="15.75" thickBot="1" x14ac:dyDescent="0.3">
      <c r="B15" s="1"/>
      <c r="C15" s="2"/>
      <c r="E15" s="1" t="s">
        <v>33</v>
      </c>
      <c r="F15" s="6">
        <f>F10*H15</f>
        <v>235.59125399999999</v>
      </c>
      <c r="G15" s="4"/>
      <c r="H15" s="12">
        <f>C21</f>
        <v>0.24379999999999999</v>
      </c>
      <c r="J15" s="1"/>
      <c r="M15" s="2"/>
      <c r="O15" s="1"/>
      <c r="P15" s="66">
        <f>SUM(P11:P14)</f>
        <v>919.596</v>
      </c>
    </row>
    <row r="16" spans="2:16" x14ac:dyDescent="0.25">
      <c r="B16" s="61" t="s">
        <v>60</v>
      </c>
      <c r="C16" s="2"/>
      <c r="E16" s="1" t="s">
        <v>34</v>
      </c>
      <c r="F16" s="4">
        <f>F10*H16</f>
        <v>730.73874599999999</v>
      </c>
      <c r="G16" s="4"/>
      <c r="H16" s="12">
        <f>C22</f>
        <v>0.75619999999999998</v>
      </c>
      <c r="J16" s="1"/>
      <c r="M16" s="2"/>
      <c r="O16" s="1"/>
      <c r="P16" s="2"/>
    </row>
    <row r="17" spans="2:18" x14ac:dyDescent="0.25">
      <c r="B17" s="1" t="s">
        <v>61</v>
      </c>
      <c r="C17" s="65">
        <f>'Hobin Clasic'!C34/2</f>
        <v>966.33</v>
      </c>
      <c r="E17" s="1" t="s">
        <v>35</v>
      </c>
      <c r="F17" s="6">
        <f>F16+H17</f>
        <v>330.73874599999999</v>
      </c>
      <c r="G17" s="4"/>
      <c r="H17" s="13">
        <f>-C14</f>
        <v>-400</v>
      </c>
      <c r="J17" s="1"/>
      <c r="M17" s="2"/>
      <c r="O17" s="1" t="s">
        <v>56</v>
      </c>
      <c r="P17" s="2"/>
    </row>
    <row r="18" spans="2:18" x14ac:dyDescent="0.25">
      <c r="B18" s="1" t="s">
        <v>62</v>
      </c>
      <c r="C18" s="65">
        <f>'Hobin Clasic'!C34/2</f>
        <v>966.33</v>
      </c>
      <c r="E18" s="1"/>
      <c r="G18" s="4"/>
      <c r="H18" s="2"/>
      <c r="J18" s="1"/>
      <c r="M18" s="2"/>
      <c r="O18" s="1" t="s">
        <v>54</v>
      </c>
      <c r="P18" s="13">
        <f>F17</f>
        <v>330.73874599999999</v>
      </c>
    </row>
    <row r="19" spans="2:18" x14ac:dyDescent="0.25">
      <c r="B19" s="1"/>
      <c r="C19" s="2"/>
      <c r="E19" s="1" t="s">
        <v>63</v>
      </c>
      <c r="F19" s="6">
        <f>-(F15-G12)</f>
        <v>104.20674600000001</v>
      </c>
      <c r="G19" s="4"/>
      <c r="H19" s="14"/>
      <c r="J19" s="1"/>
      <c r="M19" s="2"/>
      <c r="O19" s="1" t="s">
        <v>64</v>
      </c>
      <c r="P19" s="13">
        <f>-F19</f>
        <v>-104.20674600000001</v>
      </c>
    </row>
    <row r="20" spans="2:18" x14ac:dyDescent="0.25">
      <c r="B20" s="61" t="s">
        <v>65</v>
      </c>
      <c r="C20" s="2"/>
      <c r="E20" s="1" t="s">
        <v>66</v>
      </c>
      <c r="F20" s="6">
        <f>-(G13-F17)</f>
        <v>104.20674599999995</v>
      </c>
      <c r="H20" s="14"/>
      <c r="J20" s="1"/>
      <c r="M20" s="2"/>
      <c r="O20" s="1" t="s">
        <v>57</v>
      </c>
      <c r="P20" s="13">
        <f>K13</f>
        <v>386.53200000000004</v>
      </c>
    </row>
    <row r="21" spans="2:18" ht="15.75" thickBot="1" x14ac:dyDescent="0.3">
      <c r="B21" s="1" t="s">
        <v>150</v>
      </c>
      <c r="C21" s="67">
        <f>'Hobin Clasic'!C25</f>
        <v>0.24379999999999999</v>
      </c>
      <c r="E21" s="1" t="s">
        <v>67</v>
      </c>
      <c r="F21" s="6">
        <f>-F19</f>
        <v>-104.20674600000001</v>
      </c>
      <c r="H21" s="2"/>
      <c r="J21" s="1"/>
      <c r="M21" s="2"/>
      <c r="O21" s="1" t="s">
        <v>59</v>
      </c>
      <c r="P21" s="65">
        <v>0</v>
      </c>
    </row>
    <row r="22" spans="2:18" ht="15.75" thickBot="1" x14ac:dyDescent="0.3">
      <c r="B22" s="3" t="s">
        <v>151</v>
      </c>
      <c r="C22" s="68">
        <f>'Hobin Clasic'!C28</f>
        <v>0.75619999999999998</v>
      </c>
      <c r="E22" s="3" t="s">
        <v>68</v>
      </c>
      <c r="F22" s="69">
        <f>-F20</f>
        <v>-104.20674599999995</v>
      </c>
      <c r="G22" s="7"/>
      <c r="H22" s="47"/>
      <c r="J22" s="3"/>
      <c r="K22" s="7"/>
      <c r="L22" s="7"/>
      <c r="M22" s="47"/>
      <c r="O22" s="3"/>
      <c r="P22" s="66">
        <f>SUM(P18:P21)</f>
        <v>613.06400000000008</v>
      </c>
      <c r="R22" s="4"/>
    </row>
    <row r="24" spans="2:18" ht="15.75" thickBot="1" x14ac:dyDescent="0.3"/>
    <row r="25" spans="2:18" x14ac:dyDescent="0.25">
      <c r="E25" s="10" t="s">
        <v>69</v>
      </c>
      <c r="F25" s="58"/>
      <c r="G25" s="58"/>
      <c r="H25" s="11"/>
      <c r="J25" s="10" t="s">
        <v>70</v>
      </c>
      <c r="K25" s="58"/>
      <c r="L25" s="58"/>
      <c r="M25" s="48"/>
      <c r="O25" s="10" t="s">
        <v>49</v>
      </c>
      <c r="P25" s="48"/>
    </row>
    <row r="26" spans="2:18" ht="15.75" thickBot="1" x14ac:dyDescent="0.3">
      <c r="E26" s="3"/>
      <c r="F26" s="7"/>
      <c r="G26" s="7"/>
      <c r="H26" s="47"/>
      <c r="J26" s="3"/>
      <c r="K26" s="7"/>
      <c r="L26" s="7"/>
      <c r="M26" s="47"/>
      <c r="O26" s="3"/>
      <c r="P26" s="47"/>
    </row>
    <row r="27" spans="2:18" x14ac:dyDescent="0.25">
      <c r="E27" s="1"/>
      <c r="H27" s="2"/>
      <c r="J27" s="1"/>
      <c r="M27" s="2"/>
      <c r="O27" s="1"/>
      <c r="P27" s="2"/>
    </row>
    <row r="28" spans="2:18" x14ac:dyDescent="0.25">
      <c r="E28" s="1" t="s">
        <v>27</v>
      </c>
      <c r="F28" s="4">
        <f>F10</f>
        <v>966.33</v>
      </c>
      <c r="G28" s="4"/>
      <c r="H28" s="2"/>
      <c r="J28" s="1" t="s">
        <v>27</v>
      </c>
      <c r="K28" s="4">
        <f>C18</f>
        <v>966.33</v>
      </c>
      <c r="M28" s="2"/>
      <c r="O28" s="1" t="s">
        <v>52</v>
      </c>
      <c r="P28" s="2"/>
    </row>
    <row r="29" spans="2:18" x14ac:dyDescent="0.25">
      <c r="E29" s="1" t="s">
        <v>28</v>
      </c>
      <c r="F29" s="4"/>
      <c r="G29" s="4">
        <f>F28-C32</f>
        <v>966.33</v>
      </c>
      <c r="H29" s="2"/>
      <c r="J29" s="1" t="s">
        <v>53</v>
      </c>
      <c r="K29" s="4">
        <f>K28+L29</f>
        <v>566.33000000000004</v>
      </c>
      <c r="L29" s="4">
        <f>-C14</f>
        <v>-400</v>
      </c>
      <c r="M29" s="2"/>
      <c r="O29" s="1" t="s">
        <v>54</v>
      </c>
      <c r="P29" s="13">
        <f>F33</f>
        <v>235.59125399999999</v>
      </c>
    </row>
    <row r="30" spans="2:18" x14ac:dyDescent="0.25">
      <c r="E30" s="1" t="s">
        <v>32</v>
      </c>
      <c r="F30" s="4"/>
      <c r="G30" s="4">
        <f>H30*G29</f>
        <v>579.798</v>
      </c>
      <c r="H30" s="63">
        <f>H12</f>
        <v>0.6</v>
      </c>
      <c r="J30" s="1" t="s">
        <v>33</v>
      </c>
      <c r="K30" s="6">
        <f>K29*L30</f>
        <v>339.798</v>
      </c>
      <c r="L30" s="5">
        <f>H30</f>
        <v>0.6</v>
      </c>
      <c r="M30" s="2"/>
      <c r="O30" s="1" t="s">
        <v>55</v>
      </c>
      <c r="P30" s="13">
        <f>F38</f>
        <v>344.20674599999995</v>
      </c>
    </row>
    <row r="31" spans="2:18" x14ac:dyDescent="0.25">
      <c r="E31" s="1" t="s">
        <v>30</v>
      </c>
      <c r="F31" s="4"/>
      <c r="G31" s="4">
        <f>H31*G29</f>
        <v>386.53200000000004</v>
      </c>
      <c r="H31" s="63">
        <f>H13</f>
        <v>0.4</v>
      </c>
      <c r="J31" s="1" t="s">
        <v>56</v>
      </c>
      <c r="K31" s="6">
        <f>K29*L31</f>
        <v>226.53200000000004</v>
      </c>
      <c r="L31" s="5">
        <f>H31</f>
        <v>0.4</v>
      </c>
      <c r="M31" s="2"/>
      <c r="O31" s="1" t="s">
        <v>57</v>
      </c>
      <c r="P31" s="13">
        <f>K30</f>
        <v>339.798</v>
      </c>
    </row>
    <row r="32" spans="2:18" ht="15.75" thickBot="1" x14ac:dyDescent="0.3">
      <c r="E32" s="1"/>
      <c r="F32" s="4"/>
      <c r="G32" s="4"/>
      <c r="H32" s="2"/>
      <c r="J32" s="1"/>
      <c r="M32" s="2"/>
      <c r="O32" s="1" t="s">
        <v>59</v>
      </c>
      <c r="P32" s="70">
        <v>0</v>
      </c>
    </row>
    <row r="33" spans="5:16" ht="15.75" thickBot="1" x14ac:dyDescent="0.3">
      <c r="E33" s="1" t="s">
        <v>33</v>
      </c>
      <c r="F33" s="6">
        <f>F28*H33</f>
        <v>235.59125399999999</v>
      </c>
      <c r="G33" s="4"/>
      <c r="H33" s="12">
        <f>H15</f>
        <v>0.24379999999999999</v>
      </c>
      <c r="J33" s="1"/>
      <c r="M33" s="2"/>
      <c r="O33" s="1"/>
      <c r="P33" s="66">
        <f>SUM(P29:P32)</f>
        <v>919.596</v>
      </c>
    </row>
    <row r="34" spans="5:16" x14ac:dyDescent="0.25">
      <c r="E34" s="1" t="s">
        <v>34</v>
      </c>
      <c r="F34" s="4">
        <f>F28*H34</f>
        <v>730.73874599999999</v>
      </c>
      <c r="G34" s="4"/>
      <c r="H34" s="12">
        <f>H16</f>
        <v>0.75619999999999998</v>
      </c>
      <c r="J34" s="1"/>
      <c r="M34" s="2"/>
      <c r="O34" s="1"/>
      <c r="P34" s="2"/>
    </row>
    <row r="35" spans="5:16" x14ac:dyDescent="0.25">
      <c r="E35" s="1" t="s">
        <v>35</v>
      </c>
      <c r="F35" s="6">
        <f>F34+H35</f>
        <v>730.73874599999999</v>
      </c>
      <c r="G35" s="4"/>
      <c r="H35" s="13"/>
      <c r="J35" s="1"/>
      <c r="M35" s="2"/>
      <c r="O35" s="1" t="s">
        <v>56</v>
      </c>
      <c r="P35" s="2"/>
    </row>
    <row r="36" spans="5:16" x14ac:dyDescent="0.25">
      <c r="E36" s="1"/>
      <c r="G36" s="4"/>
      <c r="H36" s="2"/>
      <c r="J36" s="1"/>
      <c r="M36" s="2"/>
      <c r="O36" s="1" t="s">
        <v>54</v>
      </c>
      <c r="P36" s="13">
        <f>F35</f>
        <v>730.73874599999999</v>
      </c>
    </row>
    <row r="37" spans="5:16" x14ac:dyDescent="0.25">
      <c r="E37" s="1" t="s">
        <v>63</v>
      </c>
      <c r="F37" s="6">
        <f>G30-F33</f>
        <v>344.20674600000001</v>
      </c>
      <c r="G37" s="4"/>
      <c r="H37" s="14"/>
      <c r="J37" s="1"/>
      <c r="M37" s="2"/>
      <c r="O37" s="1" t="s">
        <v>71</v>
      </c>
      <c r="P37" s="13">
        <f>-F37</f>
        <v>-344.20674600000001</v>
      </c>
    </row>
    <row r="38" spans="5:16" x14ac:dyDescent="0.25">
      <c r="E38" s="1" t="s">
        <v>66</v>
      </c>
      <c r="F38" s="6">
        <f>F35-G31</f>
        <v>344.20674599999995</v>
      </c>
      <c r="H38" s="14"/>
      <c r="J38" s="1"/>
      <c r="M38" s="2"/>
      <c r="O38" s="1" t="s">
        <v>57</v>
      </c>
      <c r="P38" s="13">
        <f>K31</f>
        <v>226.53200000000004</v>
      </c>
    </row>
    <row r="39" spans="5:16" ht="15.75" thickBot="1" x14ac:dyDescent="0.3">
      <c r="E39" s="1" t="s">
        <v>67</v>
      </c>
      <c r="F39" s="6">
        <f>-F37</f>
        <v>-344.20674600000001</v>
      </c>
      <c r="H39" s="2"/>
      <c r="J39" s="1"/>
      <c r="M39" s="2"/>
      <c r="O39" s="1" t="s">
        <v>59</v>
      </c>
      <c r="P39" s="65">
        <v>0</v>
      </c>
    </row>
    <row r="40" spans="5:16" ht="15.75" thickBot="1" x14ac:dyDescent="0.3">
      <c r="E40" s="3" t="s">
        <v>68</v>
      </c>
      <c r="F40" s="69">
        <f>-F38</f>
        <v>-344.20674599999995</v>
      </c>
      <c r="G40" s="7"/>
      <c r="H40" s="47"/>
      <c r="J40" s="3"/>
      <c r="K40" s="7"/>
      <c r="L40" s="7"/>
      <c r="M40" s="47"/>
      <c r="O40" s="3"/>
      <c r="P40" s="66">
        <f>SUM(P36:P39)</f>
        <v>613.06400000000008</v>
      </c>
    </row>
    <row r="43" spans="5:16" x14ac:dyDescent="0.25">
      <c r="F43" s="4"/>
    </row>
  </sheetData>
  <sheetProtection password="CBEB" sheet="1" objects="1" scenarios="1" selectLockedCells="1" selectUnlockedCells="1"/>
  <pageMargins left="0.7" right="0.7" top="0.75" bottom="0.75" header="0.3" footer="0.3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c51d41-4e0b-412d-8e19-5d04cf6fcc1e">
      <Terms xmlns="http://schemas.microsoft.com/office/infopath/2007/PartnerControls"/>
    </lcf76f155ced4ddcb4097134ff3c332f>
    <TaxCatchAll xmlns="6b76cab8-ef0f-414b-81ee-805b0e0379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B75A1E1B44484D9756217B9FA205F3" ma:contentTypeVersion="18" ma:contentTypeDescription="Een nieuw document maken." ma:contentTypeScope="" ma:versionID="6430a4ca374ac4384abd87704a743278">
  <xsd:schema xmlns:xsd="http://www.w3.org/2001/XMLSchema" xmlns:xs="http://www.w3.org/2001/XMLSchema" xmlns:p="http://schemas.microsoft.com/office/2006/metadata/properties" xmlns:ns2="83c51d41-4e0b-412d-8e19-5d04cf6fcc1e" xmlns:ns3="6b76cab8-ef0f-414b-81ee-805b0e0379d8" targetNamespace="http://schemas.microsoft.com/office/2006/metadata/properties" ma:root="true" ma:fieldsID="a79e8c2e640853f7cf43872adf77e688" ns2:_="" ns3:_="">
    <xsd:import namespace="83c51d41-4e0b-412d-8e19-5d04cf6fcc1e"/>
    <xsd:import namespace="6b76cab8-ef0f-414b-81ee-805b0e0379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51d41-4e0b-412d-8e19-5d04cf6fc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223a16ff-aa26-44c7-89f3-51924e11a3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6cab8-ef0f-414b-81ee-805b0e0379d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e2aaaf8-8aae-46d6-b0fb-9b38d13a4b5c}" ma:internalName="TaxCatchAll" ma:showField="CatchAllData" ma:web="6b76cab8-ef0f-414b-81ee-805b0e0379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A3A9EB-31B0-49FD-A47E-E7B4BD5B03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782B18-4D9D-49FB-92A9-1FB925C1FBD1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6b76cab8-ef0f-414b-81ee-805b0e0379d8"/>
    <ds:schemaRef ds:uri="http://schemas.microsoft.com/office/infopath/2007/PartnerControls"/>
    <ds:schemaRef ds:uri="83c51d41-4e0b-412d-8e19-5d04cf6fcc1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4BB5D5-566A-4196-B1E2-31AFBF2DB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c51d41-4e0b-412d-8e19-5d04cf6fcc1e"/>
    <ds:schemaRef ds:uri="6b76cab8-ef0f-414b-81ee-805b0e0379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Input parameters</vt:lpstr>
      <vt:lpstr>Hobin Clasic</vt:lpstr>
      <vt:lpstr>Uitgebreid verblijfsgeb+overst</vt:lpstr>
      <vt:lpstr>Uitgebreid enkel verblijfsgeb</vt:lpstr>
      <vt:lpstr>Berekening verblijf vrij</vt:lpstr>
      <vt:lpstr>Tabel</vt:lpstr>
      <vt:lpstr>Vergelijking indien kindrek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Wellekens</dc:creator>
  <cp:lastModifiedBy>Kris Wellekens</cp:lastModifiedBy>
  <cp:lastPrinted>2023-10-24T07:11:34Z</cp:lastPrinted>
  <dcterms:created xsi:type="dcterms:W3CDTF">2022-09-22T14:04:14Z</dcterms:created>
  <dcterms:modified xsi:type="dcterms:W3CDTF">2024-10-18T07:16:14Z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0x01010065B75A1E1B44484D9756217B9FA205F3</vt:lpwstr>
  </property>
  <property fmtid="{D5CDD505-2E9C-101B-9397-08002B2CF9AE}" pid="3" name="MediaServiceImageTags">
    <vt:lpwstr/>
  </property>
</Properties>
</file>